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ecgroepbv.sharepoint.com/sites/Projecten2023/Gedeelde documenten/23.420 Provincie Noord-Brabant Handreiking kwalitatief programmeren/Presentaties/"/>
    </mc:Choice>
  </mc:AlternateContent>
  <xr:revisionPtr revIDLastSave="1552" documentId="13_ncr:1_{0925B80C-557E-4785-8BBD-0AD4D322C02E}" xr6:coauthVersionLast="47" xr6:coauthVersionMax="47" xr10:uidLastSave="{C29ADC5D-E8C7-4D58-B30C-BF8E764A3A6A}"/>
  <bookViews>
    <workbookView xWindow="-8385" yWindow="-21720" windowWidth="51840" windowHeight="21120" xr2:uid="{00000000-000D-0000-FFFF-FFFF00000000}"/>
  </bookViews>
  <sheets>
    <sheet name="Grex" sheetId="4" r:id="rId1"/>
    <sheet name="Standaard" sheetId="2" r:id="rId2"/>
    <sheet name="Herprogrammeren tot 30%SH" sheetId="5" r:id="rId3"/>
    <sheet name="Verdichten tot 30% SH" sheetId="6" r:id="rId4"/>
    <sheet name="Verdichten en herpr. 67% Betaal" sheetId="10" r:id="rId5"/>
    <sheet name="Bouwkosten lager" sheetId="7" r:id="rId6"/>
    <sheet name="Uitgeven x% extra" sheetId="8" r:id="rId7"/>
    <sheet name="Bouwkosten" sheetId="11" r:id="rId8"/>
  </sheets>
  <definedNames>
    <definedName name="_xlnm._FilterDatabase" localSheetId="1" hidden="1">Standaard!$A$27:$K$27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4" i="4" l="1"/>
  <c r="C21" i="4" l="1"/>
  <c r="D21" i="4" s="1"/>
  <c r="C40" i="4"/>
  <c r="D40" i="4" s="1"/>
  <c r="C59" i="4"/>
  <c r="D59" i="4" s="1"/>
  <c r="C78" i="4"/>
  <c r="D78" i="4" s="1"/>
  <c r="C97" i="4"/>
  <c r="D97" i="4" s="1"/>
  <c r="D116" i="4"/>
  <c r="C116" i="4"/>
  <c r="H6" i="11" a="1"/>
  <c r="H6" i="11" s="1"/>
  <c r="H4" i="11" a="1"/>
  <c r="H4" i="11" s="1"/>
  <c r="H3" i="11" a="1"/>
  <c r="H3" i="11"/>
  <c r="D8" i="2" l="1"/>
  <c r="D7" i="2"/>
  <c r="D6" i="2"/>
  <c r="D5" i="2"/>
  <c r="D4" i="2"/>
  <c r="J8" i="2"/>
  <c r="J7" i="2"/>
  <c r="J6" i="2"/>
  <c r="J6" i="7" s="1"/>
  <c r="J5" i="2"/>
  <c r="J5" i="7" s="1"/>
  <c r="J4" i="2"/>
  <c r="J4" i="7" s="1"/>
  <c r="H7" i="11" a="1"/>
  <c r="H7" i="11" s="1"/>
  <c r="H5" i="11" a="1"/>
  <c r="H5" i="11" s="1"/>
  <c r="H2" i="11" a="1"/>
  <c r="H2" i="11" s="1"/>
  <c r="F8" i="8" l="1"/>
  <c r="F7" i="8"/>
  <c r="G8" i="8"/>
  <c r="G7" i="8"/>
  <c r="J8" i="7"/>
  <c r="J7" i="7"/>
  <c r="G8" i="7"/>
  <c r="G7" i="7"/>
  <c r="F8" i="10" l="1"/>
  <c r="F6" i="10"/>
  <c r="F7" i="10"/>
  <c r="F5" i="10"/>
  <c r="F4" i="10"/>
  <c r="G7" i="5" l="1"/>
  <c r="F7" i="5"/>
  <c r="G6" i="7"/>
  <c r="G5" i="7"/>
  <c r="J8" i="8"/>
  <c r="J7" i="8"/>
  <c r="J6" i="8"/>
  <c r="J5" i="8"/>
  <c r="J4" i="8"/>
  <c r="E7" i="8"/>
  <c r="E3" i="8"/>
  <c r="C8" i="8"/>
  <c r="E8" i="8" s="1"/>
  <c r="C7" i="8"/>
  <c r="C6" i="8"/>
  <c r="E6" i="8" s="1"/>
  <c r="C5" i="8"/>
  <c r="E5" i="8" s="1"/>
  <c r="C4" i="8"/>
  <c r="E4" i="8" s="1"/>
  <c r="A8" i="8"/>
  <c r="A7" i="8"/>
  <c r="A6" i="8"/>
  <c r="A5" i="8"/>
  <c r="A4" i="8"/>
  <c r="A3" i="8"/>
  <c r="N3" i="7"/>
  <c r="K1" i="7"/>
  <c r="F8" i="7"/>
  <c r="F7" i="7"/>
  <c r="F6" i="7"/>
  <c r="F5" i="7"/>
  <c r="F4" i="7"/>
  <c r="F3" i="7"/>
  <c r="E3" i="7"/>
  <c r="C8" i="7"/>
  <c r="C7" i="7"/>
  <c r="C6" i="7"/>
  <c r="C5" i="7"/>
  <c r="C4" i="7"/>
  <c r="A8" i="7"/>
  <c r="A7" i="7"/>
  <c r="A6" i="7"/>
  <c r="A5" i="7"/>
  <c r="A4" i="7"/>
  <c r="A3" i="7"/>
  <c r="N3" i="10"/>
  <c r="K1" i="10"/>
  <c r="J8" i="10"/>
  <c r="J7" i="10"/>
  <c r="J6" i="10"/>
  <c r="J5" i="10"/>
  <c r="J4" i="10"/>
  <c r="G6" i="10"/>
  <c r="G5" i="10"/>
  <c r="G4" i="10"/>
  <c r="C8" i="10"/>
  <c r="E8" i="10" s="1"/>
  <c r="C7" i="10"/>
  <c r="E7" i="10" s="1"/>
  <c r="C6" i="10"/>
  <c r="E6" i="10" s="1"/>
  <c r="C5" i="10"/>
  <c r="E5" i="10" s="1"/>
  <c r="C4" i="10"/>
  <c r="E4" i="10" s="1"/>
  <c r="N3" i="6"/>
  <c r="N3" i="5"/>
  <c r="K1" i="6"/>
  <c r="K1" i="5"/>
  <c r="J8" i="6"/>
  <c r="J7" i="6"/>
  <c r="J6" i="6"/>
  <c r="J5" i="6"/>
  <c r="J4" i="6"/>
  <c r="G8" i="6"/>
  <c r="G7" i="6"/>
  <c r="G6" i="6"/>
  <c r="G5" i="6"/>
  <c r="G4" i="6"/>
  <c r="F7" i="6"/>
  <c r="F8" i="6"/>
  <c r="F6" i="6"/>
  <c r="F5" i="6"/>
  <c r="F4" i="6"/>
  <c r="F3" i="6"/>
  <c r="C8" i="6"/>
  <c r="C7" i="6"/>
  <c r="C6" i="6"/>
  <c r="C5" i="6"/>
  <c r="C4" i="6"/>
  <c r="J8" i="5"/>
  <c r="J7" i="5"/>
  <c r="J6" i="5"/>
  <c r="J5" i="5"/>
  <c r="J4" i="5"/>
  <c r="G8" i="5"/>
  <c r="G6" i="5"/>
  <c r="G5" i="5"/>
  <c r="G4" i="5"/>
  <c r="F8" i="5"/>
  <c r="F6" i="5"/>
  <c r="F5" i="5"/>
  <c r="F4" i="5"/>
  <c r="C8" i="5"/>
  <c r="C7" i="5"/>
  <c r="C6" i="5"/>
  <c r="C5" i="5"/>
  <c r="C4" i="5"/>
  <c r="H106" i="4"/>
  <c r="H105" i="4"/>
  <c r="H104" i="4"/>
  <c r="H103" i="4"/>
  <c r="H102" i="4"/>
  <c r="J101" i="4"/>
  <c r="I101" i="4"/>
  <c r="H100" i="4"/>
  <c r="H87" i="4"/>
  <c r="H86" i="4"/>
  <c r="H85" i="4"/>
  <c r="H84" i="4"/>
  <c r="H83" i="4"/>
  <c r="J82" i="4"/>
  <c r="I82" i="4"/>
  <c r="H81" i="4"/>
  <c r="H68" i="4"/>
  <c r="H67" i="4"/>
  <c r="I66" i="4"/>
  <c r="H66" i="4"/>
  <c r="I65" i="4"/>
  <c r="H65" i="4"/>
  <c r="I64" i="4"/>
  <c r="H64" i="4"/>
  <c r="J63" i="4"/>
  <c r="I63" i="4"/>
  <c r="H62" i="4"/>
  <c r="H49" i="4"/>
  <c r="H48" i="4"/>
  <c r="I47" i="4"/>
  <c r="H47" i="4"/>
  <c r="I46" i="4"/>
  <c r="H46" i="4"/>
  <c r="I45" i="4"/>
  <c r="H45" i="4"/>
  <c r="J44" i="4"/>
  <c r="I44" i="4"/>
  <c r="H43" i="4"/>
  <c r="J25" i="4"/>
  <c r="H30" i="4"/>
  <c r="H29" i="4"/>
  <c r="I28" i="4"/>
  <c r="H28" i="4"/>
  <c r="I27" i="4"/>
  <c r="H27" i="4"/>
  <c r="I26" i="4"/>
  <c r="H26" i="4"/>
  <c r="I25" i="4"/>
  <c r="H24" i="4"/>
  <c r="H7" i="4"/>
  <c r="J6" i="4"/>
  <c r="I6" i="4"/>
  <c r="H5" i="4"/>
  <c r="H11" i="4"/>
  <c r="H10" i="4"/>
  <c r="H9" i="4"/>
  <c r="H8" i="4"/>
  <c r="B16" i="10"/>
  <c r="I67" i="4" s="1"/>
  <c r="B15" i="10"/>
  <c r="B16" i="5"/>
  <c r="I29" i="4" s="1"/>
  <c r="B15" i="5"/>
  <c r="J1" i="7"/>
  <c r="F3" i="8"/>
  <c r="F10" i="2"/>
  <c r="F10" i="10"/>
  <c r="G4" i="7" l="1"/>
  <c r="F10" i="6"/>
  <c r="F10" i="7"/>
  <c r="F10" i="5"/>
  <c r="F4" i="8"/>
  <c r="F5" i="8"/>
  <c r="F6" i="8"/>
  <c r="P4" i="2"/>
  <c r="B16" i="8"/>
  <c r="I105" i="4" s="1"/>
  <c r="B15" i="8"/>
  <c r="I104" i="4" s="1"/>
  <c r="B14" i="8"/>
  <c r="I103" i="4" s="1"/>
  <c r="B13" i="8"/>
  <c r="I102" i="4" s="1"/>
  <c r="B16" i="7"/>
  <c r="I86" i="4" s="1"/>
  <c r="B15" i="7"/>
  <c r="I85" i="4" s="1"/>
  <c r="B14" i="7"/>
  <c r="I84" i="4" s="1"/>
  <c r="B13" i="7"/>
  <c r="I83" i="4" s="1"/>
  <c r="B14" i="10"/>
  <c r="B13" i="10"/>
  <c r="B16" i="6"/>
  <c r="I48" i="4" s="1"/>
  <c r="B15" i="6"/>
  <c r="B14" i="6"/>
  <c r="B13" i="6"/>
  <c r="B14" i="5"/>
  <c r="B13" i="5"/>
  <c r="B14" i="2"/>
  <c r="I8" i="4" s="1"/>
  <c r="B13" i="2"/>
  <c r="I7" i="4" s="1"/>
  <c r="B16" i="2"/>
  <c r="I10" i="4" s="1"/>
  <c r="B15" i="2"/>
  <c r="I9" i="4" s="1"/>
  <c r="E8" i="5"/>
  <c r="E6" i="5"/>
  <c r="E5" i="5"/>
  <c r="E4" i="5"/>
  <c r="E8" i="6"/>
  <c r="E6" i="6"/>
  <c r="E5" i="6"/>
  <c r="E4" i="6"/>
  <c r="E8" i="7"/>
  <c r="E6" i="7"/>
  <c r="E5" i="7"/>
  <c r="E4" i="7"/>
  <c r="E8" i="2"/>
  <c r="E6" i="2"/>
  <c r="E5" i="2"/>
  <c r="E4" i="2"/>
  <c r="F10" i="8" l="1"/>
  <c r="B18" i="5"/>
  <c r="B18" i="6"/>
  <c r="B18" i="7"/>
  <c r="B18" i="2"/>
  <c r="B18" i="10"/>
  <c r="B18" i="8"/>
  <c r="D14" i="7" l="1"/>
  <c r="J84" i="4" s="1"/>
  <c r="I87" i="4"/>
  <c r="I88" i="4" s="1"/>
  <c r="D13" i="8"/>
  <c r="J102" i="4" s="1"/>
  <c r="I106" i="4"/>
  <c r="I107" i="4" s="1"/>
  <c r="D14" i="6"/>
  <c r="J46" i="4" s="1"/>
  <c r="I49" i="4"/>
  <c r="I50" i="4" s="1"/>
  <c r="D13" i="10"/>
  <c r="J64" i="4" s="1"/>
  <c r="I68" i="4"/>
  <c r="I69" i="4" s="1"/>
  <c r="D13" i="5"/>
  <c r="J26" i="4" s="1"/>
  <c r="I30" i="4"/>
  <c r="I31" i="4" s="1"/>
  <c r="D16" i="7"/>
  <c r="J86" i="4" s="1"/>
  <c r="D14" i="2"/>
  <c r="J8" i="4" s="1"/>
  <c r="I11" i="4"/>
  <c r="I12" i="4" s="1"/>
  <c r="D15" i="8"/>
  <c r="J104" i="4" s="1"/>
  <c r="D13" i="7"/>
  <c r="J83" i="4" s="1"/>
  <c r="D15" i="7"/>
  <c r="J85" i="4" s="1"/>
  <c r="D15" i="2"/>
  <c r="J9" i="4" s="1"/>
  <c r="D13" i="2"/>
  <c r="J7" i="4" s="1"/>
  <c r="D16" i="2"/>
  <c r="J10" i="4" s="1"/>
  <c r="D16" i="5"/>
  <c r="J29" i="4" s="1"/>
  <c r="D15" i="5"/>
  <c r="J28" i="4" s="1"/>
  <c r="D14" i="5"/>
  <c r="J27" i="4" s="1"/>
  <c r="D16" i="10"/>
  <c r="J67" i="4" s="1"/>
  <c r="D15" i="10"/>
  <c r="J66" i="4" s="1"/>
  <c r="D14" i="8"/>
  <c r="J103" i="4" s="1"/>
  <c r="D14" i="10"/>
  <c r="J65" i="4" s="1"/>
  <c r="D16" i="6"/>
  <c r="J48" i="4" s="1"/>
  <c r="D13" i="6"/>
  <c r="J45" i="4" s="1"/>
  <c r="D15" i="6"/>
  <c r="J47" i="4" s="1"/>
  <c r="D16" i="8"/>
  <c r="J105" i="4" s="1"/>
  <c r="C71" i="4"/>
  <c r="D71" i="4" s="1"/>
  <c r="C69" i="4"/>
  <c r="C64" i="4"/>
  <c r="P8" i="10"/>
  <c r="K7" i="10"/>
  <c r="L7" i="10" s="1"/>
  <c r="P7" i="10"/>
  <c r="P6" i="10"/>
  <c r="K6" i="10"/>
  <c r="L6" i="10" s="1"/>
  <c r="H6" i="10"/>
  <c r="I6" i="10" s="1"/>
  <c r="P5" i="10"/>
  <c r="K5" i="10"/>
  <c r="P4" i="10"/>
  <c r="O3" i="10"/>
  <c r="C45" i="4"/>
  <c r="C50" i="4"/>
  <c r="C52" i="4"/>
  <c r="D52" i="4" s="1"/>
  <c r="C109" i="4"/>
  <c r="D109" i="4" s="1"/>
  <c r="C107" i="4"/>
  <c r="C102" i="4"/>
  <c r="K6" i="7"/>
  <c r="L6" i="7" s="1"/>
  <c r="C90" i="4"/>
  <c r="D90" i="4" s="1"/>
  <c r="C88" i="4"/>
  <c r="C83" i="4"/>
  <c r="C33" i="4"/>
  <c r="D33" i="4" s="1"/>
  <c r="C31" i="4"/>
  <c r="C30" i="4" s="1"/>
  <c r="D30" i="4" s="1"/>
  <c r="C26" i="4"/>
  <c r="A10" i="8"/>
  <c r="P8" i="8"/>
  <c r="P7" i="8"/>
  <c r="K7" i="8"/>
  <c r="L7" i="8" s="1"/>
  <c r="P6" i="8"/>
  <c r="P5" i="8"/>
  <c r="P4" i="8"/>
  <c r="P3" i="8"/>
  <c r="A10" i="7"/>
  <c r="P8" i="7"/>
  <c r="P7" i="7"/>
  <c r="E7" i="7"/>
  <c r="P6" i="7"/>
  <c r="P5" i="7"/>
  <c r="P4" i="7"/>
  <c r="P3" i="7"/>
  <c r="H8" i="6"/>
  <c r="I8" i="6" s="1"/>
  <c r="P8" i="6"/>
  <c r="K7" i="6"/>
  <c r="L7" i="6" s="1"/>
  <c r="H7" i="6"/>
  <c r="I7" i="6" s="1"/>
  <c r="P7" i="6"/>
  <c r="E7" i="6"/>
  <c r="K6" i="6"/>
  <c r="L6" i="6" s="1"/>
  <c r="P5" i="6"/>
  <c r="H5" i="6"/>
  <c r="I5" i="6" s="1"/>
  <c r="H8" i="5"/>
  <c r="I8" i="5" s="1"/>
  <c r="P8" i="5"/>
  <c r="K7" i="5"/>
  <c r="L7" i="5" s="1"/>
  <c r="H7" i="5"/>
  <c r="I7" i="5" s="1"/>
  <c r="P7" i="5"/>
  <c r="E7" i="5"/>
  <c r="P6" i="5"/>
  <c r="P5" i="5"/>
  <c r="P4" i="5"/>
  <c r="P3" i="5"/>
  <c r="C7" i="4"/>
  <c r="C14" i="4"/>
  <c r="D14" i="4" s="1"/>
  <c r="C12" i="4"/>
  <c r="D50" i="4" l="1"/>
  <c r="C49" i="4"/>
  <c r="D49" i="4" s="1"/>
  <c r="D107" i="4"/>
  <c r="C106" i="4"/>
  <c r="D106" i="4" s="1"/>
  <c r="D69" i="4"/>
  <c r="C68" i="4"/>
  <c r="D68" i="4" s="1"/>
  <c r="D88" i="4"/>
  <c r="C87" i="4"/>
  <c r="D87" i="4" s="1"/>
  <c r="E15" i="10"/>
  <c r="D18" i="7"/>
  <c r="J87" i="4" s="1"/>
  <c r="D18" i="2"/>
  <c r="J11" i="4" s="1"/>
  <c r="D18" i="5"/>
  <c r="J30" i="4" s="1"/>
  <c r="D18" i="6"/>
  <c r="J49" i="4" s="1"/>
  <c r="D18" i="10"/>
  <c r="J68" i="4" s="1"/>
  <c r="D18" i="8"/>
  <c r="D31" i="4"/>
  <c r="D12" i="4"/>
  <c r="C11" i="4"/>
  <c r="D11" i="4" s="1"/>
  <c r="M6" i="6"/>
  <c r="M6" i="10"/>
  <c r="N6" i="10" s="1"/>
  <c r="O6" i="10" s="1"/>
  <c r="M6" i="7"/>
  <c r="H6" i="5"/>
  <c r="I6" i="5" s="1"/>
  <c r="H5" i="10"/>
  <c r="I5" i="10" s="1"/>
  <c r="M7" i="10"/>
  <c r="H4" i="5"/>
  <c r="I4" i="5" s="1"/>
  <c r="H4" i="10"/>
  <c r="I4" i="10" s="1"/>
  <c r="P3" i="10"/>
  <c r="L5" i="10"/>
  <c r="M5" i="10" s="1"/>
  <c r="K4" i="10"/>
  <c r="L4" i="10" s="1"/>
  <c r="M4" i="10" s="1"/>
  <c r="K8" i="10"/>
  <c r="L8" i="10" s="1"/>
  <c r="M8" i="10" s="1"/>
  <c r="K7" i="7"/>
  <c r="L7" i="7" s="1"/>
  <c r="K5" i="8"/>
  <c r="L5" i="8" s="1"/>
  <c r="M5" i="8" s="1"/>
  <c r="M7" i="8"/>
  <c r="K4" i="8"/>
  <c r="L4" i="8" s="1"/>
  <c r="M4" i="8" s="1"/>
  <c r="K8" i="8"/>
  <c r="L8" i="8" s="1"/>
  <c r="K6" i="8"/>
  <c r="L6" i="8" s="1"/>
  <c r="M6" i="8" s="1"/>
  <c r="K4" i="7"/>
  <c r="L4" i="7" s="1"/>
  <c r="M4" i="7" s="1"/>
  <c r="K8" i="7"/>
  <c r="L8" i="7" s="1"/>
  <c r="M8" i="7" s="1"/>
  <c r="O3" i="7"/>
  <c r="K5" i="7"/>
  <c r="L5" i="7" s="1"/>
  <c r="M5" i="7" s="1"/>
  <c r="K5" i="6"/>
  <c r="L5" i="6" s="1"/>
  <c r="M5" i="6" s="1"/>
  <c r="N5" i="6" s="1"/>
  <c r="O5" i="6" s="1"/>
  <c r="P3" i="6"/>
  <c r="P6" i="6"/>
  <c r="K4" i="6"/>
  <c r="L4" i="6" s="1"/>
  <c r="M4" i="6" s="1"/>
  <c r="K8" i="6"/>
  <c r="L8" i="6" s="1"/>
  <c r="M8" i="6" s="1"/>
  <c r="N8" i="6" s="1"/>
  <c r="O8" i="6" s="1"/>
  <c r="H4" i="6"/>
  <c r="I4" i="6" s="1"/>
  <c r="O3" i="6"/>
  <c r="P4" i="6"/>
  <c r="M7" i="6"/>
  <c r="N7" i="6" s="1"/>
  <c r="O7" i="6" s="1"/>
  <c r="H6" i="6"/>
  <c r="I6" i="6" s="1"/>
  <c r="M7" i="5"/>
  <c r="N7" i="5" s="1"/>
  <c r="O7" i="5" s="1"/>
  <c r="K4" i="5"/>
  <c r="L4" i="5" s="1"/>
  <c r="M4" i="5" s="1"/>
  <c r="K8" i="5"/>
  <c r="L8" i="5" s="1"/>
  <c r="M8" i="5" s="1"/>
  <c r="N8" i="5" s="1"/>
  <c r="O8" i="5" s="1"/>
  <c r="K6" i="5"/>
  <c r="L6" i="5" s="1"/>
  <c r="M6" i="5" s="1"/>
  <c r="K5" i="5"/>
  <c r="L5" i="5" s="1"/>
  <c r="M5" i="5" s="1"/>
  <c r="O3" i="5"/>
  <c r="H5" i="5"/>
  <c r="I5" i="5" s="1"/>
  <c r="N6" i="6" l="1"/>
  <c r="O6" i="6" s="1"/>
  <c r="N4" i="10"/>
  <c r="O4" i="10" s="1"/>
  <c r="N6" i="5"/>
  <c r="O6" i="5" s="1"/>
  <c r="M8" i="8"/>
  <c r="N4" i="5"/>
  <c r="O4" i="5" s="1"/>
  <c r="N5" i="10"/>
  <c r="O5" i="10" s="1"/>
  <c r="M7" i="7"/>
  <c r="P10" i="10"/>
  <c r="B65" i="4" s="1"/>
  <c r="P10" i="8"/>
  <c r="B103" i="4" s="1"/>
  <c r="P10" i="7"/>
  <c r="B84" i="4" s="1"/>
  <c r="N4" i="6"/>
  <c r="N5" i="5"/>
  <c r="O5" i="5" s="1"/>
  <c r="P10" i="5"/>
  <c r="B27" i="4" s="1"/>
  <c r="C103" i="4" l="1"/>
  <c r="B101" i="4"/>
  <c r="C84" i="4"/>
  <c r="B82" i="4"/>
  <c r="P10" i="6"/>
  <c r="B46" i="4" s="1"/>
  <c r="B44" i="4" s="1"/>
  <c r="B63" i="4"/>
  <c r="C65" i="4"/>
  <c r="B25" i="4"/>
  <c r="C27" i="4"/>
  <c r="O4" i="6"/>
  <c r="N10" i="6"/>
  <c r="D57" i="4" s="1"/>
  <c r="N10" i="5"/>
  <c r="D38" i="4" s="1"/>
  <c r="C101" i="4" l="1"/>
  <c r="C108" i="4"/>
  <c r="D108" i="4" s="1"/>
  <c r="C82" i="4"/>
  <c r="C89" i="4"/>
  <c r="D89" i="4" s="1"/>
  <c r="C46" i="4"/>
  <c r="C63" i="4"/>
  <c r="C70" i="4"/>
  <c r="D70" i="4" s="1"/>
  <c r="C51" i="4"/>
  <c r="D51" i="4" s="1"/>
  <c r="C44" i="4"/>
  <c r="C32" i="4"/>
  <c r="D32" i="4" s="1"/>
  <c r="C25" i="4"/>
  <c r="C110" i="4" l="1"/>
  <c r="C111" i="4"/>
  <c r="D111" i="4" s="1"/>
  <c r="C92" i="4"/>
  <c r="D92" i="4" s="1"/>
  <c r="C91" i="4"/>
  <c r="D91" i="4" s="1"/>
  <c r="C73" i="4"/>
  <c r="D73" i="4" s="1"/>
  <c r="C72" i="4"/>
  <c r="C54" i="4"/>
  <c r="D54" i="4" s="1"/>
  <c r="C53" i="4"/>
  <c r="C34" i="4"/>
  <c r="D34" i="4" s="1"/>
  <c r="C36" i="4" s="1"/>
  <c r="D36" i="4" s="1"/>
  <c r="C35" i="4"/>
  <c r="D35" i="4" s="1"/>
  <c r="D37" i="4" l="1"/>
  <c r="D110" i="4"/>
  <c r="C93" i="4"/>
  <c r="D93" i="4" s="1"/>
  <c r="D94" i="4" s="1"/>
  <c r="D72" i="4"/>
  <c r="D53" i="4"/>
  <c r="C55" i="4" l="1"/>
  <c r="D55" i="4" s="1"/>
  <c r="D56" i="4" s="1"/>
  <c r="D58" i="4" s="1"/>
  <c r="C74" i="4"/>
  <c r="D74" i="4" s="1"/>
  <c r="D75" i="4" s="1"/>
  <c r="C112" i="4"/>
  <c r="D112" i="4" s="1"/>
  <c r="D113" i="4" s="1"/>
  <c r="D39" i="4"/>
  <c r="P5" i="2"/>
  <c r="P6" i="2"/>
  <c r="P8" i="2"/>
  <c r="K8" i="2"/>
  <c r="L8" i="2" s="1"/>
  <c r="H8" i="7" s="1"/>
  <c r="I8" i="7" s="1"/>
  <c r="N8" i="7" s="1"/>
  <c r="O8" i="7" s="1"/>
  <c r="H8" i="2"/>
  <c r="I8" i="2" s="1"/>
  <c r="P7" i="2"/>
  <c r="M8" i="2" l="1"/>
  <c r="N8" i="2" s="1"/>
  <c r="O8" i="2" s="1"/>
  <c r="H8" i="8" l="1"/>
  <c r="I8" i="8" s="1"/>
  <c r="N8" i="8" s="1"/>
  <c r="O8" i="8" s="1"/>
  <c r="G8" i="10"/>
  <c r="H8" i="10" s="1"/>
  <c r="I8" i="10" s="1"/>
  <c r="N8" i="10" s="1"/>
  <c r="O8" i="10" s="1"/>
  <c r="P3" i="2"/>
  <c r="P10" i="2" s="1"/>
  <c r="B8" i="4" s="1"/>
  <c r="C8" i="4" l="1"/>
  <c r="B6" i="4"/>
  <c r="G15" i="8" s="1"/>
  <c r="K4" i="2"/>
  <c r="E7" i="2"/>
  <c r="H7" i="2"/>
  <c r="I7" i="2" s="1"/>
  <c r="O3" i="2"/>
  <c r="O3" i="8" s="1"/>
  <c r="N3" i="8" s="1"/>
  <c r="C13" i="4" l="1"/>
  <c r="D13" i="4" s="1"/>
  <c r="C6" i="4"/>
  <c r="K5" i="2"/>
  <c r="L5" i="2" s="1"/>
  <c r="K7" i="2"/>
  <c r="L7" i="2" s="1"/>
  <c r="K6" i="2"/>
  <c r="L6" i="2" s="1"/>
  <c r="L4" i="2"/>
  <c r="M4" i="2" s="1"/>
  <c r="M7" i="2" l="1"/>
  <c r="N7" i="2" s="1"/>
  <c r="O7" i="2" s="1"/>
  <c r="H7" i="7"/>
  <c r="I7" i="7" s="1"/>
  <c r="N7" i="7" s="1"/>
  <c r="O7" i="7" s="1"/>
  <c r="C15" i="4"/>
  <c r="D15" i="4" s="1"/>
  <c r="C17" i="4" s="1"/>
  <c r="D17" i="4" s="1"/>
  <c r="C16" i="4"/>
  <c r="D16" i="4" s="1"/>
  <c r="M5" i="2"/>
  <c r="H5" i="7"/>
  <c r="I5" i="7" s="1"/>
  <c r="N5" i="7" s="1"/>
  <c r="O5" i="7" s="1"/>
  <c r="H4" i="7"/>
  <c r="I4" i="7" s="1"/>
  <c r="N4" i="7" s="1"/>
  <c r="M6" i="2"/>
  <c r="H6" i="7"/>
  <c r="I6" i="7" s="1"/>
  <c r="N6" i="7" s="1"/>
  <c r="O6" i="7" s="1"/>
  <c r="H5" i="2"/>
  <c r="I5" i="2" s="1"/>
  <c r="H6" i="2"/>
  <c r="I6" i="2" s="1"/>
  <c r="H4" i="2"/>
  <c r="I4" i="2" s="1"/>
  <c r="N4" i="2" s="1"/>
  <c r="H7" i="8" l="1"/>
  <c r="I7" i="8" s="1"/>
  <c r="N7" i="8" s="1"/>
  <c r="O7" i="8" s="1"/>
  <c r="G7" i="10"/>
  <c r="H7" i="10" s="1"/>
  <c r="I7" i="10" s="1"/>
  <c r="N7" i="10" s="1"/>
  <c r="N5" i="2"/>
  <c r="O5" i="2" s="1"/>
  <c r="G5" i="8" s="1"/>
  <c r="H5" i="8" s="1"/>
  <c r="I5" i="8" s="1"/>
  <c r="N5" i="8" s="1"/>
  <c r="O5" i="8" s="1"/>
  <c r="D18" i="4"/>
  <c r="O4" i="2"/>
  <c r="G4" i="8" s="1"/>
  <c r="H4" i="8" s="1"/>
  <c r="I4" i="8" s="1"/>
  <c r="N4" i="8" s="1"/>
  <c r="O4" i="8" s="1"/>
  <c r="N10" i="7"/>
  <c r="D95" i="4" s="1"/>
  <c r="D96" i="4" s="1"/>
  <c r="O4" i="7"/>
  <c r="N6" i="2"/>
  <c r="O6" i="2" s="1"/>
  <c r="G6" i="8" s="1"/>
  <c r="H6" i="8" s="1"/>
  <c r="I6" i="8" s="1"/>
  <c r="N6" i="8" s="1"/>
  <c r="O6" i="8" s="1"/>
  <c r="O7" i="10" l="1"/>
  <c r="N10" i="10"/>
  <c r="D76" i="4" s="1"/>
  <c r="D77" i="4" s="1"/>
  <c r="N10" i="8"/>
  <c r="D114" i="4" s="1"/>
  <c r="D115" i="4" s="1"/>
  <c r="O10" i="8"/>
  <c r="E103" i="4" s="1"/>
  <c r="N10" i="2"/>
  <c r="D19" i="4" s="1"/>
  <c r="F75" i="4"/>
  <c r="F113" i="4"/>
  <c r="F37" i="4"/>
  <c r="F94" i="4"/>
  <c r="F56" i="4"/>
  <c r="F76" i="4" l="1"/>
  <c r="F57" i="4"/>
  <c r="F95" i="4"/>
  <c r="F38" i="4"/>
  <c r="F114" i="4"/>
  <c r="D20" i="4"/>
  <c r="F96" i="4" s="1"/>
  <c r="I89" i="4" s="1"/>
  <c r="F77" i="4" l="1"/>
  <c r="F115" i="4"/>
  <c r="I108" i="4" s="1"/>
  <c r="F39" i="4"/>
  <c r="I32" i="4" s="1"/>
  <c r="F58" i="4"/>
  <c r="I52" i="4" l="1"/>
  <c r="I51" i="4"/>
  <c r="I71" i="4"/>
  <c r="I7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<sst xmlns="http://schemas.openxmlformats.org/spreadsheetml/2006/main" count="345" uniqueCount="73">
  <si>
    <t>aantal</t>
  </si>
  <si>
    <t>type</t>
  </si>
  <si>
    <t>gbo</t>
  </si>
  <si>
    <t>vormfactor</t>
  </si>
  <si>
    <t>bvo</t>
  </si>
  <si>
    <t>perceel</t>
  </si>
  <si>
    <t>VON/m²</t>
  </si>
  <si>
    <t>VON</t>
  </si>
  <si>
    <t>VON ex btw</t>
  </si>
  <si>
    <t>bouwkosten</t>
  </si>
  <si>
    <t>bijkomend</t>
  </si>
  <si>
    <t>stichtingskosten/m2</t>
  </si>
  <si>
    <t>stichtingskosten</t>
  </si>
  <si>
    <t>residueel</t>
  </si>
  <si>
    <t>residueel per m²</t>
  </si>
  <si>
    <t>totaal kaveloppervlak</t>
  </si>
  <si>
    <t>prijs per eenheid</t>
  </si>
  <si>
    <t>eenheid</t>
  </si>
  <si>
    <t>totaal</t>
  </si>
  <si>
    <t>Planontwikkelingskosten</t>
  </si>
  <si>
    <t>VTU</t>
  </si>
  <si>
    <t>Risico en onvoorzien</t>
  </si>
  <si>
    <t>Resultaat nominaal</t>
  </si>
  <si>
    <t>STANDAARD</t>
  </si>
  <si>
    <t>Kosten Totaal</t>
  </si>
  <si>
    <t>Opbrengsten Totaal</t>
  </si>
  <si>
    <t>Bouwrijpmaken</t>
  </si>
  <si>
    <t>Woonrijpmaken (groen)</t>
  </si>
  <si>
    <t>Woonrijpmaken (verharding)</t>
  </si>
  <si>
    <t>Post</t>
  </si>
  <si>
    <t>Plangebied totaal</t>
  </si>
  <si>
    <t>Groen</t>
  </si>
  <si>
    <t>Verharding</t>
  </si>
  <si>
    <t>Uitgeefbaar</t>
  </si>
  <si>
    <t>HERPROGRAMMEREN 30% SOCIALE HUUR</t>
  </si>
  <si>
    <t>8 extra woningen</t>
  </si>
  <si>
    <t>VERDICHTEN TOT 30% SOCIALE HUUR</t>
  </si>
  <si>
    <t>incl extra uitgegeven grond</t>
  </si>
  <si>
    <t>AANPASSEN KWALITEIT OPENBARE RUIMTE / UITGIFTE MEER M²</t>
  </si>
  <si>
    <t>Verschil tov STANDAARD</t>
  </si>
  <si>
    <t>sociale huur</t>
  </si>
  <si>
    <t>goedkope koop</t>
  </si>
  <si>
    <t>betaalbare koop</t>
  </si>
  <si>
    <t>dure koop</t>
  </si>
  <si>
    <t>aandeel</t>
  </si>
  <si>
    <t>PROGRAMMA</t>
  </si>
  <si>
    <t>Totaal</t>
  </si>
  <si>
    <t>Inbrengwaarde / aankoopprijs</t>
  </si>
  <si>
    <t>Gele cellen zijn aanpasbaar</t>
  </si>
  <si>
    <t>GOEDKOPER BOUWEN (BEÏNVLOEDT DE KOSTEN EN VON-OPBRENGSTEN)</t>
  </si>
  <si>
    <t>Extra uitgeefbaar oppervlak</t>
  </si>
  <si>
    <t>max extra uitgeefbaar oppervlak</t>
  </si>
  <si>
    <t>VERDICHTEN EN HERPROGRAMMEREN TOT 67% BETAALBAAR</t>
  </si>
  <si>
    <t>12 extra woningen</t>
  </si>
  <si>
    <t>Per woning</t>
  </si>
  <si>
    <t>Per extra woning</t>
  </si>
  <si>
    <t>wo/ha</t>
  </si>
  <si>
    <t>lagere bouwkosten</t>
  </si>
  <si>
    <t>Sociale huur rijwoning</t>
  </si>
  <si>
    <t>Seniorenwoning rij (Hofwoning)</t>
  </si>
  <si>
    <t>Twee-onder-een-kap</t>
  </si>
  <si>
    <t>Vrijstaand</t>
  </si>
  <si>
    <t>Goedkope koop (tot € 295.000) starters</t>
  </si>
  <si>
    <t>Betaalbare koop (tot € 420.000)</t>
  </si>
  <si>
    <t>LAAG</t>
  </si>
  <si>
    <t>BASIS</t>
  </si>
  <si>
    <t>HOOG</t>
  </si>
  <si>
    <t>Gekozen niveau</t>
  </si>
  <si>
    <t>Gekozen prijs</t>
  </si>
  <si>
    <t>opslag kleine woning</t>
  </si>
  <si>
    <t>Extra: bijdrage Realisatiestimulans</t>
  </si>
  <si>
    <t>B</t>
  </si>
  <si>
    <t>Let op: dit resultaat is exclusief de inbrengwaarde/ aankoopprijs = € 0,-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</si>
</sst>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_-;_-@_-"/>
    <numFmt numFmtId="165" formatCode="_ &quot;€&quot;\ * #,##0_ ;_ &quot;€&quot;\ * \-#,##0_ ;_ &quot;€&quot;\ * &quot;-&quot;??_ ;_ @_ "/>
    <numFmt numFmtId="166" formatCode="_ * #,##0_ ;_ * \-#,##0_ ;_ * &quot;-&quot;??_ ;_ @_ "/>
    <numFmt numFmtId="167" formatCode="_ [$€-413]\ * #,##0.00_ ;_ [$€-413]\ * \-#,##0.00_ ;_ [$€-413]\ * &quot;-&quot;??_ ;_ @_ "/>
    <numFmt numFmtId="168" formatCode="0.0"/>
    <numFmt numFmtId="169" formatCode="&quot;€&quot;\ #,##0.00"/>
    <numFmt numFmtId="170" formatCode="&quot;€&quot;\ 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12"/>
      <name val="Arial"/>
      <family val="2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1" fontId="0" fillId="0" borderId="0" xfId="0" applyNumberFormat="1"/>
    <xf numFmtId="9" fontId="0" fillId="0" borderId="0" xfId="0" applyNumberFormat="1"/>
    <xf numFmtId="9" fontId="0" fillId="2" borderId="0" xfId="1" applyFont="1" applyFill="1"/>
    <xf numFmtId="164" fontId="2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164" fontId="2" fillId="0" borderId="0" xfId="0" applyNumberFormat="1" applyFont="1" applyAlignment="1" applyProtection="1">
      <alignment horizontal="right"/>
      <protection locked="0"/>
    </xf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right"/>
    </xf>
    <xf numFmtId="164" fontId="4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left"/>
    </xf>
    <xf numFmtId="164" fontId="5" fillId="0" borderId="0" xfId="0" applyNumberFormat="1" applyFont="1"/>
    <xf numFmtId="6" fontId="0" fillId="0" borderId="0" xfId="0" applyNumberFormat="1"/>
    <xf numFmtId="0" fontId="0" fillId="3" borderId="2" xfId="0" applyFill="1" applyBorder="1"/>
    <xf numFmtId="9" fontId="0" fillId="3" borderId="2" xfId="1" applyFont="1" applyFill="1" applyBorder="1"/>
    <xf numFmtId="6" fontId="0" fillId="3" borderId="4" xfId="0" applyNumberFormat="1" applyFill="1" applyBorder="1"/>
    <xf numFmtId="6" fontId="0" fillId="3" borderId="6" xfId="0" applyNumberFormat="1" applyFill="1" applyBorder="1"/>
    <xf numFmtId="0" fontId="0" fillId="3" borderId="5" xfId="0" applyFill="1" applyBorder="1"/>
    <xf numFmtId="0" fontId="0" fillId="3" borderId="7" xfId="0" applyFill="1" applyBorder="1"/>
    <xf numFmtId="6" fontId="0" fillId="3" borderId="8" xfId="0" applyNumberFormat="1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6" fontId="0" fillId="3" borderId="9" xfId="0" applyNumberFormat="1" applyFill="1" applyBorder="1"/>
    <xf numFmtId="165" fontId="0" fillId="3" borderId="2" xfId="2" applyNumberFormat="1" applyFont="1" applyFill="1" applyBorder="1"/>
    <xf numFmtId="1" fontId="0" fillId="3" borderId="13" xfId="0" applyNumberFormat="1" applyFill="1" applyBorder="1"/>
    <xf numFmtId="1" fontId="0" fillId="3" borderId="9" xfId="0" applyNumberFormat="1" applyFill="1" applyBorder="1"/>
    <xf numFmtId="9" fontId="0" fillId="0" borderId="0" xfId="1" applyFont="1"/>
    <xf numFmtId="0" fontId="6" fillId="4" borderId="0" xfId="0" applyFont="1" applyFill="1"/>
    <xf numFmtId="0" fontId="0" fillId="4" borderId="0" xfId="0" applyFill="1"/>
    <xf numFmtId="0" fontId="6" fillId="5" borderId="0" xfId="0" applyFont="1" applyFill="1"/>
    <xf numFmtId="0" fontId="0" fillId="5" borderId="0" xfId="0" applyFill="1"/>
    <xf numFmtId="0" fontId="6" fillId="6" borderId="0" xfId="0" applyFont="1" applyFill="1"/>
    <xf numFmtId="0" fontId="0" fillId="6" borderId="0" xfId="0" applyFill="1"/>
    <xf numFmtId="166" fontId="0" fillId="0" borderId="0" xfId="4" applyNumberFormat="1" applyFont="1"/>
    <xf numFmtId="165" fontId="0" fillId="0" borderId="0" xfId="2" applyNumberFormat="1" applyFont="1"/>
    <xf numFmtId="0" fontId="0" fillId="7" borderId="0" xfId="0" applyFill="1"/>
    <xf numFmtId="9" fontId="0" fillId="7" borderId="0" xfId="1" applyFont="1" applyFill="1"/>
    <xf numFmtId="0" fontId="0" fillId="3" borderId="14" xfId="0" applyFill="1" applyBorder="1"/>
    <xf numFmtId="0" fontId="0" fillId="3" borderId="15" xfId="0" applyFill="1" applyBorder="1"/>
    <xf numFmtId="6" fontId="0" fillId="3" borderId="16" xfId="0" applyNumberFormat="1" applyFill="1" applyBorder="1"/>
    <xf numFmtId="0" fontId="0" fillId="3" borderId="17" xfId="0" applyFill="1" applyBorder="1"/>
    <xf numFmtId="6" fontId="0" fillId="3" borderId="18" xfId="0" applyNumberFormat="1" applyFill="1" applyBorder="1"/>
    <xf numFmtId="0" fontId="0" fillId="3" borderId="19" xfId="0" applyFill="1" applyBorder="1"/>
    <xf numFmtId="0" fontId="6" fillId="8" borderId="0" xfId="0" applyFont="1" applyFill="1"/>
    <xf numFmtId="0" fontId="0" fillId="8" borderId="0" xfId="0" applyFill="1"/>
    <xf numFmtId="9" fontId="0" fillId="8" borderId="0" xfId="1" applyFont="1" applyFill="1"/>
    <xf numFmtId="9" fontId="0" fillId="8" borderId="0" xfId="0" applyNumberFormat="1" applyFill="1"/>
    <xf numFmtId="167" fontId="0" fillId="0" borderId="0" xfId="1" applyNumberFormat="1" applyFont="1"/>
    <xf numFmtId="165" fontId="0" fillId="0" borderId="0" xfId="0" applyNumberFormat="1"/>
    <xf numFmtId="6" fontId="0" fillId="9" borderId="3" xfId="0" applyNumberFormat="1" applyFill="1" applyBorder="1"/>
    <xf numFmtId="6" fontId="0" fillId="9" borderId="5" xfId="0" applyNumberFormat="1" applyFill="1" applyBorder="1"/>
    <xf numFmtId="9" fontId="0" fillId="9" borderId="5" xfId="0" applyNumberFormat="1" applyFill="1" applyBorder="1"/>
    <xf numFmtId="0" fontId="0" fillId="9" borderId="2" xfId="0" applyFill="1" applyBorder="1"/>
    <xf numFmtId="0" fontId="0" fillId="9" borderId="20" xfId="0" applyFill="1" applyBorder="1"/>
    <xf numFmtId="9" fontId="0" fillId="9" borderId="0" xfId="0" applyNumberFormat="1" applyFill="1"/>
    <xf numFmtId="168" fontId="0" fillId="0" borderId="0" xfId="0" applyNumberFormat="1"/>
    <xf numFmtId="0" fontId="0" fillId="9" borderId="0" xfId="0" applyFill="1"/>
    <xf numFmtId="1" fontId="0" fillId="9" borderId="0" xfId="0" applyNumberFormat="1" applyFill="1"/>
    <xf numFmtId="9" fontId="0" fillId="9" borderId="0" xfId="1" applyFont="1" applyFill="1"/>
    <xf numFmtId="10" fontId="0" fillId="9" borderId="0" xfId="1" applyNumberFormat="1" applyFont="1" applyFill="1"/>
    <xf numFmtId="0" fontId="0" fillId="10" borderId="0" xfId="0" applyFill="1"/>
    <xf numFmtId="9" fontId="0" fillId="10" borderId="0" xfId="1" applyFont="1" applyFill="1"/>
    <xf numFmtId="1" fontId="0" fillId="10" borderId="0" xfId="0" applyNumberFormat="1" applyFill="1"/>
    <xf numFmtId="9" fontId="0" fillId="10" borderId="0" xfId="0" applyNumberFormat="1" applyFill="1"/>
    <xf numFmtId="170" fontId="0" fillId="0" borderId="0" xfId="0" applyNumberFormat="1"/>
    <xf numFmtId="0" fontId="6" fillId="3" borderId="21" xfId="0" applyFont="1" applyFill="1" applyBorder="1"/>
    <xf numFmtId="169" fontId="6" fillId="3" borderId="22" xfId="2" applyNumberFormat="1" applyFont="1" applyFill="1" applyBorder="1"/>
    <xf numFmtId="0" fontId="6" fillId="3" borderId="22" xfId="0" applyFont="1" applyFill="1" applyBorder="1"/>
    <xf numFmtId="6" fontId="6" fillId="3" borderId="23" xfId="0" applyNumberFormat="1" applyFont="1" applyFill="1" applyBorder="1"/>
    <xf numFmtId="170" fontId="0" fillId="7" borderId="0" xfId="0" applyNumberFormat="1" applyFill="1"/>
    <xf numFmtId="170" fontId="0" fillId="9" borderId="0" xfId="2" applyNumberFormat="1" applyFont="1" applyFill="1"/>
    <xf numFmtId="170" fontId="0" fillId="0" borderId="0" xfId="2" applyNumberFormat="1" applyFont="1"/>
    <xf numFmtId="170" fontId="0" fillId="10" borderId="0" xfId="2" applyNumberFormat="1" applyFont="1" applyFill="1"/>
  </cellXfs>
  <cellStyles count="5">
    <cellStyle name="Komma" xfId="4" builtinId="3"/>
    <cellStyle name="Procent" xfId="1" builtinId="5"/>
    <cellStyle name="Standaard" xfId="0" builtinId="0"/>
    <cellStyle name="Standaard 3 2" xfId="3" xr:uid="{A411B2EA-F8E3-459C-993D-0E81C9DDCCEC}"/>
    <cellStyle name="Valuta" xfId="2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8670F-9765-4C68-BF26-2A4416DC37FC}">
  <dimension ref="A1:AG116"/>
  <sheetViews>
    <sheetView tabSelected="1" zoomScale="110" zoomScaleNormal="110" workbookViewId="0">
      <selection activeCell="F20" sqref="F20"/>
    </sheetView>
  </sheetViews>
  <sheetFormatPr defaultRowHeight="14.5" x14ac:dyDescent="0.35"/>
  <cols>
    <col min="1" max="1" width="29" customWidth="1"/>
    <col min="2" max="2" width="16.26953125" bestFit="1" customWidth="1"/>
    <col min="3" max="3" width="12" bestFit="1" customWidth="1"/>
    <col min="4" max="4" width="26.54296875" bestFit="1" customWidth="1"/>
    <col min="5" max="5" width="10.54296875" bestFit="1" customWidth="1"/>
    <col min="6" max="6" width="11.81640625" customWidth="1"/>
    <col min="7" max="7" width="27" bestFit="1" customWidth="1"/>
    <col min="8" max="8" width="16.26953125" bestFit="1" customWidth="1"/>
    <col min="9" max="9" width="12" bestFit="1" customWidth="1"/>
    <col min="10" max="10" width="26.54296875" bestFit="1" customWidth="1"/>
  </cols>
  <sheetData>
    <row r="1" spans="1:10" ht="15" thickBot="1" x14ac:dyDescent="0.4"/>
    <row r="2" spans="1:10" ht="15" thickBot="1" x14ac:dyDescent="0.4">
      <c r="A2" s="58" t="s">
        <v>48</v>
      </c>
    </row>
    <row r="4" spans="1:10" s="33" customFormat="1" x14ac:dyDescent="0.35">
      <c r="A4" s="32" t="s">
        <v>23</v>
      </c>
    </row>
    <row r="5" spans="1:10" x14ac:dyDescent="0.35">
      <c r="A5" s="15" t="s">
        <v>30</v>
      </c>
      <c r="B5" s="57">
        <v>34270</v>
      </c>
      <c r="H5" t="str">
        <f>Standaard!A11</f>
        <v>PROGRAMMA</v>
      </c>
    </row>
    <row r="6" spans="1:10" x14ac:dyDescent="0.35">
      <c r="A6" s="15" t="s">
        <v>31</v>
      </c>
      <c r="B6" s="30">
        <f>B5-B8-B7</f>
        <v>12613</v>
      </c>
      <c r="C6" s="16">
        <f>B6/B5</f>
        <v>0.36804785526699735</v>
      </c>
      <c r="I6" t="str">
        <f>Standaard!B12</f>
        <v>aantal</v>
      </c>
      <c r="J6" t="str">
        <f>Standaard!D12</f>
        <v>aandeel</v>
      </c>
    </row>
    <row r="7" spans="1:10" x14ac:dyDescent="0.35">
      <c r="A7" s="15" t="s">
        <v>32</v>
      </c>
      <c r="B7" s="57">
        <v>7392</v>
      </c>
      <c r="C7" s="16">
        <f>B7/B5</f>
        <v>0.21569886197840676</v>
      </c>
      <c r="H7" t="str">
        <f>Standaard!A13</f>
        <v>sociale huur</v>
      </c>
      <c r="I7">
        <f>Standaard!B13</f>
        <v>15</v>
      </c>
      <c r="J7" s="31">
        <f>Standaard!D13</f>
        <v>0.21739130434782608</v>
      </c>
    </row>
    <row r="8" spans="1:10" x14ac:dyDescent="0.35">
      <c r="A8" s="15" t="s">
        <v>33</v>
      </c>
      <c r="B8" s="30">
        <f>Standaard!P10-Standaard!P9</f>
        <v>14265</v>
      </c>
      <c r="C8" s="16">
        <f>B8/B5</f>
        <v>0.41625328275459583</v>
      </c>
      <c r="H8" t="str">
        <f>Standaard!A14</f>
        <v>goedkope koop</v>
      </c>
      <c r="I8">
        <f>Standaard!B14</f>
        <v>16</v>
      </c>
      <c r="J8" s="31">
        <f>Standaard!D14</f>
        <v>0.2318840579710145</v>
      </c>
    </row>
    <row r="9" spans="1:10" x14ac:dyDescent="0.35">
      <c r="H9" t="str">
        <f>Standaard!A15</f>
        <v>betaalbare koop</v>
      </c>
      <c r="I9">
        <f>Standaard!B15</f>
        <v>6</v>
      </c>
      <c r="J9" s="31">
        <f>Standaard!D15</f>
        <v>8.6956521739130432E-2</v>
      </c>
    </row>
    <row r="10" spans="1:10" x14ac:dyDescent="0.35">
      <c r="A10" s="15" t="s">
        <v>29</v>
      </c>
      <c r="B10" s="24" t="s">
        <v>16</v>
      </c>
      <c r="C10" s="15" t="s">
        <v>17</v>
      </c>
      <c r="D10" s="25" t="s">
        <v>18</v>
      </c>
      <c r="H10" t="str">
        <f>Standaard!A16</f>
        <v>dure koop</v>
      </c>
      <c r="I10">
        <f>Standaard!B16</f>
        <v>32</v>
      </c>
      <c r="J10" s="31">
        <f>Standaard!D16</f>
        <v>0.46376811594202899</v>
      </c>
    </row>
    <row r="11" spans="1:10" x14ac:dyDescent="0.35">
      <c r="A11" s="22" t="s">
        <v>47</v>
      </c>
      <c r="B11" s="54">
        <v>0</v>
      </c>
      <c r="C11" s="26">
        <f>C12</f>
        <v>34270</v>
      </c>
      <c r="D11" s="17">
        <f>B11*C11</f>
        <v>0</v>
      </c>
      <c r="H11" t="str">
        <f>Standaard!A18</f>
        <v>Totaal</v>
      </c>
      <c r="I11">
        <f>Standaard!B18</f>
        <v>69</v>
      </c>
      <c r="J11" s="31">
        <f>Standaard!D18</f>
        <v>1</v>
      </c>
    </row>
    <row r="12" spans="1:10" x14ac:dyDescent="0.35">
      <c r="A12" s="22" t="s">
        <v>26</v>
      </c>
      <c r="B12" s="54">
        <v>45</v>
      </c>
      <c r="C12" s="26">
        <f>B5</f>
        <v>34270</v>
      </c>
      <c r="D12" s="17">
        <f t="shared" ref="D12:D17" si="0">B12*C12</f>
        <v>1542150</v>
      </c>
      <c r="H12" t="s">
        <v>56</v>
      </c>
      <c r="I12" s="60">
        <f>I11/(B5/10000)</f>
        <v>20.134228187919462</v>
      </c>
    </row>
    <row r="13" spans="1:10" x14ac:dyDescent="0.35">
      <c r="A13" s="22" t="s">
        <v>27</v>
      </c>
      <c r="B13" s="55">
        <v>30</v>
      </c>
      <c r="C13" s="30">
        <f>B6</f>
        <v>12613</v>
      </c>
      <c r="D13" s="18">
        <f t="shared" si="0"/>
        <v>378390</v>
      </c>
      <c r="E13" s="14"/>
    </row>
    <row r="14" spans="1:10" x14ac:dyDescent="0.35">
      <c r="A14" s="22" t="s">
        <v>28</v>
      </c>
      <c r="B14" s="55">
        <v>155</v>
      </c>
      <c r="C14" s="22">
        <f>B7</f>
        <v>7392</v>
      </c>
      <c r="D14" s="18">
        <f t="shared" si="0"/>
        <v>1145760</v>
      </c>
    </row>
    <row r="15" spans="1:10" x14ac:dyDescent="0.35">
      <c r="A15" s="22" t="s">
        <v>19</v>
      </c>
      <c r="B15" s="56">
        <v>0.05</v>
      </c>
      <c r="C15" s="27">
        <f>SUM(D12:D14)</f>
        <v>3066300</v>
      </c>
      <c r="D15" s="18">
        <f t="shared" si="0"/>
        <v>153315</v>
      </c>
    </row>
    <row r="16" spans="1:10" x14ac:dyDescent="0.35">
      <c r="A16" s="22" t="s">
        <v>20</v>
      </c>
      <c r="B16" s="56">
        <v>0.2</v>
      </c>
      <c r="C16" s="27">
        <f>SUM(D12:D14)</f>
        <v>3066300</v>
      </c>
      <c r="D16" s="18">
        <f t="shared" si="0"/>
        <v>613260</v>
      </c>
    </row>
    <row r="17" spans="1:10" x14ac:dyDescent="0.35">
      <c r="A17" s="22" t="s">
        <v>21</v>
      </c>
      <c r="B17" s="56">
        <v>0.05</v>
      </c>
      <c r="C17" s="27">
        <f>C15+D15</f>
        <v>3219615</v>
      </c>
      <c r="D17" s="18">
        <f t="shared" si="0"/>
        <v>160980.75</v>
      </c>
    </row>
    <row r="18" spans="1:10" x14ac:dyDescent="0.35">
      <c r="A18" s="22" t="s">
        <v>24</v>
      </c>
      <c r="B18" s="19"/>
      <c r="C18" s="22"/>
      <c r="D18" s="18">
        <f>SUM(D11:D17)</f>
        <v>3993855.75</v>
      </c>
    </row>
    <row r="19" spans="1:10" x14ac:dyDescent="0.35">
      <c r="A19" s="22" t="s">
        <v>25</v>
      </c>
      <c r="B19" s="19"/>
      <c r="C19" s="22"/>
      <c r="D19" s="18">
        <f>Standaard!N10</f>
        <v>6829971.9308010964</v>
      </c>
    </row>
    <row r="20" spans="1:10" ht="15" thickBot="1" x14ac:dyDescent="0.4">
      <c r="A20" s="22" t="s">
        <v>22</v>
      </c>
      <c r="B20" s="19"/>
      <c r="C20" s="22"/>
      <c r="D20" s="18">
        <f>D19-D18</f>
        <v>2836116.1808010964</v>
      </c>
      <c r="F20" t="s">
        <v>72</v>
      </c>
    </row>
    <row r="21" spans="1:10" ht="15" thickBot="1" x14ac:dyDescent="0.4">
      <c r="A21" s="70" t="s">
        <v>70</v>
      </c>
      <c r="B21" s="71">
        <v>7000</v>
      </c>
      <c r="C21" s="72">
        <f>SUM(I7:I9)</f>
        <v>37</v>
      </c>
      <c r="D21" s="73">
        <f>B21*C21</f>
        <v>259000</v>
      </c>
    </row>
    <row r="23" spans="1:10" s="35" customFormat="1" x14ac:dyDescent="0.35">
      <c r="A23" s="34" t="s">
        <v>34</v>
      </c>
    </row>
    <row r="24" spans="1:10" x14ac:dyDescent="0.35">
      <c r="A24" s="15" t="s">
        <v>30</v>
      </c>
      <c r="B24" s="57">
        <v>34270</v>
      </c>
      <c r="H24" t="str">
        <f>'Herprogrammeren tot 30%SH'!A11</f>
        <v>PROGRAMMA</v>
      </c>
    </row>
    <row r="25" spans="1:10" x14ac:dyDescent="0.35">
      <c r="A25" s="15" t="s">
        <v>31</v>
      </c>
      <c r="B25" s="30">
        <f>B24-B27-B26</f>
        <v>13438</v>
      </c>
      <c r="C25" s="16">
        <f>B25/B24</f>
        <v>0.39212138896994458</v>
      </c>
      <c r="I25" t="str">
        <f>'Herprogrammeren tot 30%SH'!B12</f>
        <v>aantal</v>
      </c>
      <c r="J25" t="str">
        <f>'Herprogrammeren tot 30%SH'!D12</f>
        <v>aandeel</v>
      </c>
    </row>
    <row r="26" spans="1:10" x14ac:dyDescent="0.35">
      <c r="A26" s="15" t="s">
        <v>32</v>
      </c>
      <c r="B26" s="57">
        <v>7392</v>
      </c>
      <c r="C26" s="16">
        <f>B26/B24</f>
        <v>0.21569886197840676</v>
      </c>
      <c r="H26" t="str">
        <f>'Herprogrammeren tot 30%SH'!A13</f>
        <v>sociale huur</v>
      </c>
      <c r="I26">
        <f>'Herprogrammeren tot 30%SH'!B13</f>
        <v>21</v>
      </c>
      <c r="J26" s="31">
        <f>'Herprogrammeren tot 30%SH'!D13</f>
        <v>0.30434782608695654</v>
      </c>
    </row>
    <row r="27" spans="1:10" x14ac:dyDescent="0.35">
      <c r="A27" s="15" t="s">
        <v>33</v>
      </c>
      <c r="B27" s="30">
        <f>'Herprogrammeren tot 30%SH'!P10-'Herprogrammeren tot 30%SH'!P9</f>
        <v>13440</v>
      </c>
      <c r="C27" s="16">
        <f>B27/B24</f>
        <v>0.39217974905164865</v>
      </c>
      <c r="H27" t="str">
        <f>'Herprogrammeren tot 30%SH'!A14</f>
        <v>goedkope koop</v>
      </c>
      <c r="I27">
        <f>'Herprogrammeren tot 30%SH'!B14</f>
        <v>16</v>
      </c>
      <c r="J27" s="31">
        <f>'Herprogrammeren tot 30%SH'!D14</f>
        <v>0.2318840579710145</v>
      </c>
    </row>
    <row r="28" spans="1:10" x14ac:dyDescent="0.35">
      <c r="H28" t="str">
        <f>'Herprogrammeren tot 30%SH'!A15</f>
        <v>betaalbare koop</v>
      </c>
      <c r="I28">
        <f>'Herprogrammeren tot 30%SH'!B15</f>
        <v>6</v>
      </c>
      <c r="J28" s="31">
        <f>'Herprogrammeren tot 30%SH'!D15</f>
        <v>8.6956521739130432E-2</v>
      </c>
    </row>
    <row r="29" spans="1:10" x14ac:dyDescent="0.35">
      <c r="A29" s="15"/>
      <c r="B29" s="24" t="s">
        <v>16</v>
      </c>
      <c r="C29" s="15" t="s">
        <v>17</v>
      </c>
      <c r="D29" s="25" t="s">
        <v>18</v>
      </c>
      <c r="H29" t="str">
        <f>'Herprogrammeren tot 30%SH'!A16</f>
        <v>dure koop</v>
      </c>
      <c r="I29">
        <f>'Herprogrammeren tot 30%SH'!B16</f>
        <v>26</v>
      </c>
      <c r="J29" s="31">
        <f>'Herprogrammeren tot 30%SH'!D16</f>
        <v>0.37681159420289856</v>
      </c>
    </row>
    <row r="30" spans="1:10" x14ac:dyDescent="0.35">
      <c r="A30" s="22" t="s">
        <v>47</v>
      </c>
      <c r="B30" s="54">
        <v>0</v>
      </c>
      <c r="C30" s="26">
        <f>C31</f>
        <v>34270</v>
      </c>
      <c r="D30" s="17">
        <f>B30*C30</f>
        <v>0</v>
      </c>
      <c r="H30" t="str">
        <f>'Herprogrammeren tot 30%SH'!A18</f>
        <v>Totaal</v>
      </c>
      <c r="I30">
        <f>'Herprogrammeren tot 30%SH'!B18</f>
        <v>69</v>
      </c>
      <c r="J30" s="31">
        <f>'Herprogrammeren tot 30%SH'!D18</f>
        <v>1</v>
      </c>
    </row>
    <row r="31" spans="1:10" x14ac:dyDescent="0.35">
      <c r="A31" s="22" t="s">
        <v>26</v>
      </c>
      <c r="B31" s="54">
        <v>45</v>
      </c>
      <c r="C31" s="26">
        <f>B24</f>
        <v>34270</v>
      </c>
      <c r="D31" s="17">
        <f t="shared" ref="D31:D36" si="1">B31*C31</f>
        <v>1542150</v>
      </c>
      <c r="H31" t="s">
        <v>56</v>
      </c>
      <c r="I31" s="60">
        <f>I30/(B24/10000)</f>
        <v>20.134228187919462</v>
      </c>
    </row>
    <row r="32" spans="1:10" x14ac:dyDescent="0.35">
      <c r="A32" s="22" t="s">
        <v>27</v>
      </c>
      <c r="B32" s="55">
        <v>30</v>
      </c>
      <c r="C32" s="30">
        <f>B25</f>
        <v>13438</v>
      </c>
      <c r="D32" s="18">
        <f t="shared" si="1"/>
        <v>403140</v>
      </c>
      <c r="H32" t="s">
        <v>54</v>
      </c>
      <c r="I32" s="14">
        <f>F39/I30</f>
        <v>-8570.8182582472564</v>
      </c>
    </row>
    <row r="33" spans="1:33" x14ac:dyDescent="0.35">
      <c r="A33" s="22" t="s">
        <v>28</v>
      </c>
      <c r="B33" s="55">
        <v>155</v>
      </c>
      <c r="C33" s="22">
        <f>B26</f>
        <v>7392</v>
      </c>
      <c r="D33" s="18">
        <f t="shared" si="1"/>
        <v>1145760</v>
      </c>
      <c r="H33" t="s">
        <v>55</v>
      </c>
      <c r="I33" s="14"/>
    </row>
    <row r="34" spans="1:33" x14ac:dyDescent="0.35">
      <c r="A34" s="22" t="s">
        <v>19</v>
      </c>
      <c r="B34" s="56">
        <v>0.05</v>
      </c>
      <c r="C34" s="27">
        <f>SUM(D31:D33)</f>
        <v>3091050</v>
      </c>
      <c r="D34" s="18">
        <f t="shared" si="1"/>
        <v>154552.5</v>
      </c>
    </row>
    <row r="35" spans="1:33" ht="15" thickBot="1" x14ac:dyDescent="0.4">
      <c r="A35" s="22" t="s">
        <v>20</v>
      </c>
      <c r="B35" s="56">
        <v>0.2</v>
      </c>
      <c r="C35" s="27">
        <f>SUM(D31:D33)</f>
        <v>3091050</v>
      </c>
      <c r="D35" s="18">
        <f t="shared" si="1"/>
        <v>618210</v>
      </c>
    </row>
    <row r="36" spans="1:33" x14ac:dyDescent="0.35">
      <c r="A36" s="22" t="s">
        <v>21</v>
      </c>
      <c r="B36" s="56">
        <v>0.05</v>
      </c>
      <c r="C36" s="27">
        <f>C34+D34</f>
        <v>3245602.5</v>
      </c>
      <c r="D36" s="18">
        <f t="shared" si="1"/>
        <v>162280.125</v>
      </c>
      <c r="F36" s="42" t="s">
        <v>39</v>
      </c>
      <c r="G36" s="43"/>
    </row>
    <row r="37" spans="1:33" x14ac:dyDescent="0.35">
      <c r="A37" s="22" t="s">
        <v>24</v>
      </c>
      <c r="B37" s="19"/>
      <c r="C37" s="22"/>
      <c r="D37" s="18">
        <f>SUM(D30:D36)</f>
        <v>4026092.625</v>
      </c>
      <c r="F37" s="44">
        <f>D37-$D$18</f>
        <v>32236.875</v>
      </c>
      <c r="G37" s="45"/>
    </row>
    <row r="38" spans="1:33" x14ac:dyDescent="0.35">
      <c r="A38" s="22" t="s">
        <v>25</v>
      </c>
      <c r="B38" s="19"/>
      <c r="C38" s="22"/>
      <c r="D38" s="18">
        <f>'Herprogrammeren tot 30%SH'!N10</f>
        <v>6270822.3459820356</v>
      </c>
      <c r="F38" s="44">
        <f>D38-$D$19</f>
        <v>-559149.58481906075</v>
      </c>
      <c r="G38" s="45"/>
    </row>
    <row r="39" spans="1:33" ht="15" thickBot="1" x14ac:dyDescent="0.4">
      <c r="A39" s="23" t="s">
        <v>22</v>
      </c>
      <c r="B39" s="20"/>
      <c r="C39" s="23"/>
      <c r="D39" s="21">
        <f>D38-D37</f>
        <v>2244729.7209820356</v>
      </c>
      <c r="F39" s="46">
        <f>D39-$D$20</f>
        <v>-591386.45981906075</v>
      </c>
      <c r="G39" s="47"/>
    </row>
    <row r="40" spans="1:33" ht="15" thickBot="1" x14ac:dyDescent="0.4">
      <c r="A40" s="70" t="s">
        <v>70</v>
      </c>
      <c r="B40" s="71">
        <v>7000</v>
      </c>
      <c r="C40" s="72">
        <f>SUM(I26:I28)</f>
        <v>43</v>
      </c>
      <c r="D40" s="73">
        <f>B40*C40</f>
        <v>301000</v>
      </c>
    </row>
    <row r="42" spans="1:33" s="35" customFormat="1" x14ac:dyDescent="0.35">
      <c r="A42" s="34" t="s">
        <v>36</v>
      </c>
    </row>
    <row r="43" spans="1:33" x14ac:dyDescent="0.35">
      <c r="A43" s="15" t="s">
        <v>30</v>
      </c>
      <c r="B43" s="57">
        <v>34270</v>
      </c>
      <c r="H43" t="str">
        <f>'Verdichten tot 30% SH'!A11</f>
        <v>PROGRAMMA</v>
      </c>
    </row>
    <row r="44" spans="1:33" x14ac:dyDescent="0.35">
      <c r="A44" s="15" t="s">
        <v>31</v>
      </c>
      <c r="B44" s="30">
        <f>B43-B46-B45</f>
        <v>11733</v>
      </c>
      <c r="C44" s="16">
        <f>B44/B43</f>
        <v>0.34236941931718706</v>
      </c>
      <c r="I44" t="str">
        <f>'Verdichten tot 30% SH'!B12</f>
        <v>aantal</v>
      </c>
      <c r="J44" t="str">
        <f>'Verdichten tot 30% SH'!D12</f>
        <v>aandeel</v>
      </c>
    </row>
    <row r="45" spans="1:33" x14ac:dyDescent="0.35">
      <c r="A45" s="15" t="s">
        <v>32</v>
      </c>
      <c r="B45" s="57">
        <v>7392</v>
      </c>
      <c r="C45" s="16">
        <f>B45/B43</f>
        <v>0.21569886197840676</v>
      </c>
      <c r="H45" t="str">
        <f>'Verdichten tot 30% SH'!A13</f>
        <v>sociale huur</v>
      </c>
      <c r="I45">
        <f>'Verdichten tot 30% SH'!B13</f>
        <v>23</v>
      </c>
      <c r="J45" s="31">
        <f>'Verdichten tot 30% SH'!D13</f>
        <v>0.29870129870129869</v>
      </c>
    </row>
    <row r="46" spans="1:33" x14ac:dyDescent="0.35">
      <c r="A46" s="15" t="s">
        <v>33</v>
      </c>
      <c r="B46" s="30">
        <f>'Verdichten tot 30% SH'!P10-'Verdichten tot 30% SH'!P9</f>
        <v>15145</v>
      </c>
      <c r="C46" s="16">
        <f>B46/B43</f>
        <v>0.44193171870440617</v>
      </c>
      <c r="H46" t="str">
        <f>'Verdichten tot 30% SH'!A14</f>
        <v>goedkope koop</v>
      </c>
      <c r="I46">
        <f>'Verdichten tot 30% SH'!B14</f>
        <v>16</v>
      </c>
      <c r="J46" s="31">
        <f>'Verdichten tot 30% SH'!D14</f>
        <v>0.20779220779220781</v>
      </c>
    </row>
    <row r="47" spans="1:33" x14ac:dyDescent="0.35">
      <c r="H47" t="str">
        <f>'Verdichten tot 30% SH'!A15</f>
        <v>betaalbare koop</v>
      </c>
      <c r="I47">
        <f>'Verdichten tot 30% SH'!B15</f>
        <v>6</v>
      </c>
      <c r="J47" s="31">
        <f>'Verdichten tot 30% SH'!D15</f>
        <v>7.792207792207792E-2</v>
      </c>
      <c r="AG47" t="s">
        <v>71</v>
      </c>
    </row>
    <row r="48" spans="1:33" x14ac:dyDescent="0.35">
      <c r="A48" s="15"/>
      <c r="B48" s="24" t="s">
        <v>16</v>
      </c>
      <c r="C48" s="15" t="s">
        <v>17</v>
      </c>
      <c r="D48" s="25" t="s">
        <v>18</v>
      </c>
      <c r="H48" t="str">
        <f>'Verdichten tot 30% SH'!A16</f>
        <v>dure koop</v>
      </c>
      <c r="I48">
        <f>'Verdichten tot 30% SH'!B16</f>
        <v>32</v>
      </c>
      <c r="J48" s="31">
        <f>'Verdichten tot 30% SH'!D16</f>
        <v>0.41558441558441561</v>
      </c>
    </row>
    <row r="49" spans="1:10" x14ac:dyDescent="0.35">
      <c r="A49" s="22" t="s">
        <v>47</v>
      </c>
      <c r="B49" s="54">
        <v>0</v>
      </c>
      <c r="C49" s="26">
        <f>C50</f>
        <v>34270</v>
      </c>
      <c r="D49" s="17">
        <f>B49*C49</f>
        <v>0</v>
      </c>
      <c r="H49" t="str">
        <f>'Verdichten tot 30% SH'!A18</f>
        <v>Totaal</v>
      </c>
      <c r="I49">
        <f>'Verdichten tot 30% SH'!B18</f>
        <v>77</v>
      </c>
      <c r="J49" s="31">
        <f>'Verdichten tot 30% SH'!D18</f>
        <v>1</v>
      </c>
    </row>
    <row r="50" spans="1:10" x14ac:dyDescent="0.35">
      <c r="A50" s="22" t="s">
        <v>26</v>
      </c>
      <c r="B50" s="54">
        <v>45</v>
      </c>
      <c r="C50" s="26">
        <f>B43</f>
        <v>34270</v>
      </c>
      <c r="D50" s="17">
        <f t="shared" ref="D50:D55" si="2">B50*C50</f>
        <v>1542150</v>
      </c>
      <c r="H50" t="s">
        <v>56</v>
      </c>
      <c r="I50" s="60">
        <f>I49/(B43/10000)</f>
        <v>22.468631456084037</v>
      </c>
    </row>
    <row r="51" spans="1:10" x14ac:dyDescent="0.35">
      <c r="A51" s="22" t="s">
        <v>27</v>
      </c>
      <c r="B51" s="55">
        <v>30</v>
      </c>
      <c r="C51" s="30">
        <f>B44</f>
        <v>11733</v>
      </c>
      <c r="D51" s="18">
        <f t="shared" si="2"/>
        <v>351990</v>
      </c>
      <c r="H51" t="s">
        <v>54</v>
      </c>
      <c r="I51" s="14">
        <f>F58/I49</f>
        <v>4595.2148506181657</v>
      </c>
    </row>
    <row r="52" spans="1:10" x14ac:dyDescent="0.35">
      <c r="A52" s="22" t="s">
        <v>28</v>
      </c>
      <c r="B52" s="55">
        <v>155</v>
      </c>
      <c r="C52" s="22">
        <f>B45</f>
        <v>7392</v>
      </c>
      <c r="D52" s="18">
        <f t="shared" si="2"/>
        <v>1145760</v>
      </c>
      <c r="H52" t="s">
        <v>55</v>
      </c>
      <c r="I52" s="14">
        <f>F58/(I49-$I$11)</f>
        <v>44228.942937199841</v>
      </c>
    </row>
    <row r="53" spans="1:10" x14ac:dyDescent="0.35">
      <c r="A53" s="22" t="s">
        <v>19</v>
      </c>
      <c r="B53" s="56">
        <v>0.05</v>
      </c>
      <c r="C53" s="27">
        <f>SUM(D50:D52)</f>
        <v>3039900</v>
      </c>
      <c r="D53" s="18">
        <f t="shared" si="2"/>
        <v>151995</v>
      </c>
    </row>
    <row r="54" spans="1:10" ht="15" thickBot="1" x14ac:dyDescent="0.4">
      <c r="A54" s="22" t="s">
        <v>20</v>
      </c>
      <c r="B54" s="56">
        <v>0.2</v>
      </c>
      <c r="C54" s="27">
        <f>SUM(D50:D52)</f>
        <v>3039900</v>
      </c>
      <c r="D54" s="18">
        <f t="shared" si="2"/>
        <v>607980</v>
      </c>
    </row>
    <row r="55" spans="1:10" x14ac:dyDescent="0.35">
      <c r="A55" s="22" t="s">
        <v>21</v>
      </c>
      <c r="B55" s="56">
        <v>0.05</v>
      </c>
      <c r="C55" s="27">
        <f>C53+D53</f>
        <v>3191895</v>
      </c>
      <c r="D55" s="18">
        <f t="shared" si="2"/>
        <v>159594.75</v>
      </c>
      <c r="F55" s="42" t="s">
        <v>39</v>
      </c>
      <c r="G55" s="43"/>
    </row>
    <row r="56" spans="1:10" x14ac:dyDescent="0.35">
      <c r="A56" s="22" t="s">
        <v>24</v>
      </c>
      <c r="B56" s="19"/>
      <c r="C56" s="22"/>
      <c r="D56" s="18">
        <f>SUM(D49:D55)</f>
        <v>3959469.75</v>
      </c>
      <c r="F56" s="44">
        <f>D56-$D$18</f>
        <v>-34386</v>
      </c>
      <c r="G56" s="45"/>
    </row>
    <row r="57" spans="1:10" x14ac:dyDescent="0.35">
      <c r="A57" s="22" t="s">
        <v>25</v>
      </c>
      <c r="B57" s="19"/>
      <c r="C57" s="22"/>
      <c r="D57" s="18">
        <f>'Verdichten tot 30% SH'!N10</f>
        <v>7149417.4742986951</v>
      </c>
      <c r="F57" s="44">
        <f>D57-$D$19</f>
        <v>319445.54349759873</v>
      </c>
      <c r="G57" s="45"/>
    </row>
    <row r="58" spans="1:10" ht="15" thickBot="1" x14ac:dyDescent="0.4">
      <c r="A58" s="23" t="s">
        <v>22</v>
      </c>
      <c r="B58" s="20"/>
      <c r="C58" s="23"/>
      <c r="D58" s="21">
        <f>D57-D56</f>
        <v>3189947.7242986951</v>
      </c>
      <c r="F58" s="46">
        <f>D58-$D$20</f>
        <v>353831.54349759873</v>
      </c>
      <c r="G58" s="47"/>
    </row>
    <row r="59" spans="1:10" ht="15" thickBot="1" x14ac:dyDescent="0.4">
      <c r="A59" s="70" t="s">
        <v>70</v>
      </c>
      <c r="B59" s="71">
        <v>7000</v>
      </c>
      <c r="C59" s="72">
        <f>SUM(I45:I47)</f>
        <v>45</v>
      </c>
      <c r="D59" s="73">
        <f>B59*C59</f>
        <v>315000</v>
      </c>
    </row>
    <row r="61" spans="1:10" s="35" customFormat="1" x14ac:dyDescent="0.35">
      <c r="A61" s="34" t="s">
        <v>52</v>
      </c>
    </row>
    <row r="62" spans="1:10" x14ac:dyDescent="0.35">
      <c r="A62" s="15" t="s">
        <v>30</v>
      </c>
      <c r="B62" s="57">
        <v>34270</v>
      </c>
      <c r="H62" t="str">
        <f>'Verdichten en herpr. 67% Betaal'!A11</f>
        <v>PROGRAMMA</v>
      </c>
    </row>
    <row r="63" spans="1:10" x14ac:dyDescent="0.35">
      <c r="A63" s="15" t="s">
        <v>31</v>
      </c>
      <c r="B63" s="30">
        <f>B62-B65-B64</f>
        <v>12448</v>
      </c>
      <c r="C63" s="16">
        <f>B63/B62</f>
        <v>0.36323314852640792</v>
      </c>
      <c r="I63" t="str">
        <f>'Verdichten en herpr. 67% Betaal'!B12</f>
        <v>aantal</v>
      </c>
      <c r="J63" t="str">
        <f>'Verdichten en herpr. 67% Betaal'!D12</f>
        <v>aandeel</v>
      </c>
    </row>
    <row r="64" spans="1:10" x14ac:dyDescent="0.35">
      <c r="A64" s="15" t="s">
        <v>32</v>
      </c>
      <c r="B64" s="57">
        <v>7392</v>
      </c>
      <c r="C64" s="16">
        <f>B64/B62</f>
        <v>0.21569886197840676</v>
      </c>
      <c r="H64" t="str">
        <f>'Verdichten en herpr. 67% Betaal'!A13</f>
        <v>sociale huur</v>
      </c>
      <c r="I64">
        <f>'Verdichten en herpr. 67% Betaal'!B13</f>
        <v>23</v>
      </c>
      <c r="J64" s="31">
        <f>'Verdichten en herpr. 67% Betaal'!D13</f>
        <v>0.2839506172839506</v>
      </c>
    </row>
    <row r="65" spans="1:10" x14ac:dyDescent="0.35">
      <c r="A65" s="15" t="s">
        <v>33</v>
      </c>
      <c r="B65" s="30">
        <f>'Verdichten en herpr. 67% Betaal'!P10-'Verdichten en herpr. 67% Betaal'!P9</f>
        <v>14430</v>
      </c>
      <c r="C65" s="16">
        <f>B65/B62</f>
        <v>0.42106798949518531</v>
      </c>
      <c r="H65" t="str">
        <f>'Verdichten en herpr. 67% Betaal'!A14</f>
        <v>goedkope koop</v>
      </c>
      <c r="I65">
        <f>'Verdichten en herpr. 67% Betaal'!B14</f>
        <v>21</v>
      </c>
      <c r="J65" s="31">
        <f>'Verdichten en herpr. 67% Betaal'!D14</f>
        <v>0.25925925925925924</v>
      </c>
    </row>
    <row r="66" spans="1:10" x14ac:dyDescent="0.35">
      <c r="H66" t="str">
        <f>'Verdichten en herpr. 67% Betaal'!A15</f>
        <v>betaalbare koop</v>
      </c>
      <c r="I66">
        <f>'Verdichten en herpr. 67% Betaal'!B15</f>
        <v>10</v>
      </c>
      <c r="J66" s="31">
        <f>'Verdichten en herpr. 67% Betaal'!D15</f>
        <v>0.12345679012345678</v>
      </c>
    </row>
    <row r="67" spans="1:10" x14ac:dyDescent="0.35">
      <c r="A67" s="15"/>
      <c r="B67" s="24" t="s">
        <v>16</v>
      </c>
      <c r="C67" s="15" t="s">
        <v>17</v>
      </c>
      <c r="D67" s="25" t="s">
        <v>18</v>
      </c>
      <c r="H67" t="str">
        <f>'Verdichten en herpr. 67% Betaal'!A16</f>
        <v>dure koop</v>
      </c>
      <c r="I67">
        <f>'Verdichten en herpr. 67% Betaal'!B16</f>
        <v>27</v>
      </c>
      <c r="J67" s="31">
        <f>'Verdichten en herpr. 67% Betaal'!D16</f>
        <v>0.33333333333333331</v>
      </c>
    </row>
    <row r="68" spans="1:10" x14ac:dyDescent="0.35">
      <c r="A68" s="22" t="s">
        <v>47</v>
      </c>
      <c r="B68" s="54">
        <v>0</v>
      </c>
      <c r="C68" s="26">
        <f>C69</f>
        <v>34270</v>
      </c>
      <c r="D68" s="17">
        <f>B68*C68</f>
        <v>0</v>
      </c>
      <c r="H68" t="str">
        <f>'Verdichten en herpr. 67% Betaal'!A18</f>
        <v>Totaal</v>
      </c>
      <c r="I68">
        <f>'Verdichten en herpr. 67% Betaal'!B18</f>
        <v>81</v>
      </c>
      <c r="J68" s="31">
        <f>'Verdichten en herpr. 67% Betaal'!D18</f>
        <v>1</v>
      </c>
    </row>
    <row r="69" spans="1:10" x14ac:dyDescent="0.35">
      <c r="A69" s="22" t="s">
        <v>26</v>
      </c>
      <c r="B69" s="54">
        <v>45</v>
      </c>
      <c r="C69" s="29">
        <f>B62</f>
        <v>34270</v>
      </c>
      <c r="D69" s="17">
        <f t="shared" ref="D69:D74" si="3">B69*C69</f>
        <v>1542150</v>
      </c>
      <c r="H69" t="s">
        <v>56</v>
      </c>
      <c r="I69" s="60">
        <f>I68/(B62/10000)</f>
        <v>23.635833090166326</v>
      </c>
    </row>
    <row r="70" spans="1:10" x14ac:dyDescent="0.35">
      <c r="A70" s="22" t="s">
        <v>27</v>
      </c>
      <c r="B70" s="55">
        <v>30</v>
      </c>
      <c r="C70" s="30">
        <f>B63</f>
        <v>12448</v>
      </c>
      <c r="D70" s="18">
        <f t="shared" si="3"/>
        <v>373440</v>
      </c>
      <c r="H70" t="s">
        <v>54</v>
      </c>
      <c r="I70" s="14">
        <f>F77/I68</f>
        <v>3528.3789951253084</v>
      </c>
    </row>
    <row r="71" spans="1:10" x14ac:dyDescent="0.35">
      <c r="A71" s="22" t="s">
        <v>28</v>
      </c>
      <c r="B71" s="55">
        <v>155</v>
      </c>
      <c r="C71" s="30">
        <f>B64</f>
        <v>7392</v>
      </c>
      <c r="D71" s="18">
        <f t="shared" si="3"/>
        <v>1145760</v>
      </c>
      <c r="H71" t="s">
        <v>55</v>
      </c>
      <c r="I71" s="14">
        <f>F77/(I68-$I$11)</f>
        <v>23816.558217095833</v>
      </c>
    </row>
    <row r="72" spans="1:10" x14ac:dyDescent="0.35">
      <c r="A72" s="22" t="s">
        <v>19</v>
      </c>
      <c r="B72" s="56">
        <v>0.05</v>
      </c>
      <c r="C72" s="27">
        <f>SUM(D69:D71)</f>
        <v>3061350</v>
      </c>
      <c r="D72" s="18">
        <f t="shared" si="3"/>
        <v>153067.5</v>
      </c>
    </row>
    <row r="73" spans="1:10" ht="15" thickBot="1" x14ac:dyDescent="0.4">
      <c r="A73" s="22" t="s">
        <v>20</v>
      </c>
      <c r="B73" s="56">
        <v>0.2</v>
      </c>
      <c r="C73" s="27">
        <f>SUM(D69:D71)</f>
        <v>3061350</v>
      </c>
      <c r="D73" s="18">
        <f t="shared" si="3"/>
        <v>612270</v>
      </c>
    </row>
    <row r="74" spans="1:10" x14ac:dyDescent="0.35">
      <c r="A74" s="22" t="s">
        <v>21</v>
      </c>
      <c r="B74" s="56">
        <v>0.05</v>
      </c>
      <c r="C74" s="27">
        <f>C72+D72</f>
        <v>3214417.5</v>
      </c>
      <c r="D74" s="18">
        <f t="shared" si="3"/>
        <v>160720.875</v>
      </c>
      <c r="F74" s="42" t="s">
        <v>39</v>
      </c>
      <c r="G74" s="43"/>
    </row>
    <row r="75" spans="1:10" x14ac:dyDescent="0.35">
      <c r="A75" s="22" t="s">
        <v>24</v>
      </c>
      <c r="B75" s="19"/>
      <c r="C75" s="22"/>
      <c r="D75" s="18">
        <f>SUM(D68:D74)</f>
        <v>3987408.375</v>
      </c>
      <c r="F75" s="44">
        <f>D75-$D$18</f>
        <v>-6447.375</v>
      </c>
      <c r="G75" s="45"/>
    </row>
    <row r="76" spans="1:10" x14ac:dyDescent="0.35">
      <c r="A76" s="22" t="s">
        <v>25</v>
      </c>
      <c r="B76" s="19"/>
      <c r="C76" s="22"/>
      <c r="D76" s="18">
        <f>'Verdichten en herpr. 67% Betaal'!N10</f>
        <v>7109323.2544062464</v>
      </c>
      <c r="F76" s="44">
        <f>D76-$D$19</f>
        <v>279351.32360514998</v>
      </c>
      <c r="G76" s="45"/>
    </row>
    <row r="77" spans="1:10" ht="15" thickBot="1" x14ac:dyDescent="0.4">
      <c r="A77" s="23" t="s">
        <v>22</v>
      </c>
      <c r="B77" s="20"/>
      <c r="C77" s="23"/>
      <c r="D77" s="21">
        <f>D76-D75</f>
        <v>3121914.8794062464</v>
      </c>
      <c r="F77" s="46">
        <f>D77-$D$20</f>
        <v>285798.69860514998</v>
      </c>
      <c r="G77" s="47"/>
    </row>
    <row r="78" spans="1:10" ht="15" thickBot="1" x14ac:dyDescent="0.4">
      <c r="A78" s="70" t="s">
        <v>70</v>
      </c>
      <c r="B78" s="71">
        <v>7000</v>
      </c>
      <c r="C78" s="72">
        <f>SUM(I64:I66)</f>
        <v>54</v>
      </c>
      <c r="D78" s="73">
        <f>B78*C78</f>
        <v>378000</v>
      </c>
    </row>
    <row r="80" spans="1:10" s="37" customFormat="1" x14ac:dyDescent="0.35">
      <c r="A80" s="36" t="s">
        <v>49</v>
      </c>
    </row>
    <row r="81" spans="1:10" x14ac:dyDescent="0.35">
      <c r="A81" s="15" t="s">
        <v>30</v>
      </c>
      <c r="B81" s="57">
        <v>34270</v>
      </c>
      <c r="H81" t="str">
        <f>'Bouwkosten lager'!A11</f>
        <v>PROGRAMMA</v>
      </c>
    </row>
    <row r="82" spans="1:10" x14ac:dyDescent="0.35">
      <c r="A82" s="15" t="s">
        <v>31</v>
      </c>
      <c r="B82" s="30">
        <f>B81-B84-B83</f>
        <v>12613</v>
      </c>
      <c r="C82" s="16">
        <f>B82/B81</f>
        <v>0.36804785526699735</v>
      </c>
      <c r="I82" t="str">
        <f>'Bouwkosten lager'!B12</f>
        <v>aantal</v>
      </c>
      <c r="J82" t="str">
        <f>'Bouwkosten lager'!D12</f>
        <v>aandeel</v>
      </c>
    </row>
    <row r="83" spans="1:10" x14ac:dyDescent="0.35">
      <c r="A83" s="15" t="s">
        <v>32</v>
      </c>
      <c r="B83" s="57">
        <v>7392</v>
      </c>
      <c r="C83" s="16">
        <f>B83/B81</f>
        <v>0.21569886197840676</v>
      </c>
      <c r="H83" t="str">
        <f>'Bouwkosten lager'!A13</f>
        <v>sociale huur</v>
      </c>
      <c r="I83">
        <f>'Bouwkosten lager'!B13</f>
        <v>15</v>
      </c>
      <c r="J83" s="31">
        <f>'Bouwkosten lager'!D13</f>
        <v>0.21739130434782608</v>
      </c>
    </row>
    <row r="84" spans="1:10" x14ac:dyDescent="0.35">
      <c r="A84" s="15" t="s">
        <v>33</v>
      </c>
      <c r="B84" s="30">
        <f>'Bouwkosten lager'!P10-'Bouwkosten lager'!P9</f>
        <v>14265</v>
      </c>
      <c r="C84" s="16">
        <f>B84/B81</f>
        <v>0.41625328275459583</v>
      </c>
      <c r="F84" s="1"/>
      <c r="H84" t="str">
        <f>'Bouwkosten lager'!A14</f>
        <v>goedkope koop</v>
      </c>
      <c r="I84">
        <f>'Bouwkosten lager'!B14</f>
        <v>16</v>
      </c>
      <c r="J84" s="31">
        <f>'Bouwkosten lager'!D14</f>
        <v>0.2318840579710145</v>
      </c>
    </row>
    <row r="85" spans="1:10" x14ac:dyDescent="0.35">
      <c r="H85" t="str">
        <f>'Bouwkosten lager'!A15</f>
        <v>betaalbare koop</v>
      </c>
      <c r="I85">
        <f>'Bouwkosten lager'!B15</f>
        <v>6</v>
      </c>
      <c r="J85" s="31">
        <f>'Bouwkosten lager'!D15</f>
        <v>8.6956521739130432E-2</v>
      </c>
    </row>
    <row r="86" spans="1:10" x14ac:dyDescent="0.35">
      <c r="A86" s="15"/>
      <c r="B86" s="24" t="s">
        <v>16</v>
      </c>
      <c r="C86" s="15" t="s">
        <v>17</v>
      </c>
      <c r="D86" s="25" t="s">
        <v>18</v>
      </c>
      <c r="H86" t="str">
        <f>'Bouwkosten lager'!A16</f>
        <v>dure koop</v>
      </c>
      <c r="I86">
        <f>'Bouwkosten lager'!B16</f>
        <v>32</v>
      </c>
      <c r="J86" s="31">
        <f>'Bouwkosten lager'!D16</f>
        <v>0.46376811594202899</v>
      </c>
    </row>
    <row r="87" spans="1:10" x14ac:dyDescent="0.35">
      <c r="A87" s="22" t="s">
        <v>47</v>
      </c>
      <c r="B87" s="54">
        <v>0</v>
      </c>
      <c r="C87" s="26">
        <f>C88</f>
        <v>34270</v>
      </c>
      <c r="D87" s="17">
        <f>B87*C87</f>
        <v>0</v>
      </c>
      <c r="H87" t="str">
        <f>'Bouwkosten lager'!A18</f>
        <v>Totaal</v>
      </c>
      <c r="I87">
        <f>'Bouwkosten lager'!B18</f>
        <v>69</v>
      </c>
      <c r="J87" s="31">
        <f>'Bouwkosten lager'!D18</f>
        <v>1</v>
      </c>
    </row>
    <row r="88" spans="1:10" x14ac:dyDescent="0.35">
      <c r="A88" s="22" t="s">
        <v>26</v>
      </c>
      <c r="B88" s="54">
        <v>45</v>
      </c>
      <c r="C88" s="26">
        <f>B81</f>
        <v>34270</v>
      </c>
      <c r="D88" s="17">
        <f t="shared" ref="D88:D93" si="4">B88*C88</f>
        <v>1542150</v>
      </c>
      <c r="G88" s="38"/>
      <c r="H88" t="s">
        <v>56</v>
      </c>
      <c r="I88" s="60">
        <f>I87/(B81/10000)</f>
        <v>20.134228187919462</v>
      </c>
    </row>
    <row r="89" spans="1:10" x14ac:dyDescent="0.35">
      <c r="A89" s="22" t="s">
        <v>27</v>
      </c>
      <c r="B89" s="55">
        <v>30</v>
      </c>
      <c r="C89" s="30">
        <f>B82</f>
        <v>12613</v>
      </c>
      <c r="D89" s="18">
        <f t="shared" si="4"/>
        <v>378390</v>
      </c>
      <c r="G89" s="38"/>
      <c r="H89" t="s">
        <v>54</v>
      </c>
      <c r="I89" s="14">
        <f>F96/I87</f>
        <v>7200.8172456395096</v>
      </c>
    </row>
    <row r="90" spans="1:10" x14ac:dyDescent="0.35">
      <c r="A90" s="22" t="s">
        <v>28</v>
      </c>
      <c r="B90" s="55">
        <v>155</v>
      </c>
      <c r="C90" s="22">
        <f>B83</f>
        <v>7392</v>
      </c>
      <c r="D90" s="18">
        <f t="shared" si="4"/>
        <v>1145760</v>
      </c>
      <c r="G90" s="38"/>
      <c r="H90" t="s">
        <v>55</v>
      </c>
      <c r="I90" s="14"/>
    </row>
    <row r="91" spans="1:10" x14ac:dyDescent="0.35">
      <c r="A91" s="22" t="s">
        <v>19</v>
      </c>
      <c r="B91" s="56">
        <v>0.05</v>
      </c>
      <c r="C91" s="27">
        <f>SUM(D88:D90)</f>
        <v>3066300</v>
      </c>
      <c r="D91" s="18">
        <f t="shared" si="4"/>
        <v>153315</v>
      </c>
      <c r="G91" s="38"/>
    </row>
    <row r="92" spans="1:10" ht="15" thickBot="1" x14ac:dyDescent="0.4">
      <c r="A92" s="22" t="s">
        <v>20</v>
      </c>
      <c r="B92" s="56">
        <v>0.2</v>
      </c>
      <c r="C92" s="27">
        <f>SUM(D88:D90)</f>
        <v>3066300</v>
      </c>
      <c r="D92" s="18">
        <f t="shared" si="4"/>
        <v>613260</v>
      </c>
      <c r="G92" s="38"/>
    </row>
    <row r="93" spans="1:10" x14ac:dyDescent="0.35">
      <c r="A93" s="22" t="s">
        <v>21</v>
      </c>
      <c r="B93" s="56">
        <v>0.05</v>
      </c>
      <c r="C93" s="27">
        <f>C91+D91</f>
        <v>3219615</v>
      </c>
      <c r="D93" s="18">
        <f t="shared" si="4"/>
        <v>160980.75</v>
      </c>
      <c r="F93" s="42" t="s">
        <v>39</v>
      </c>
      <c r="G93" s="43"/>
    </row>
    <row r="94" spans="1:10" x14ac:dyDescent="0.35">
      <c r="A94" s="22" t="s">
        <v>24</v>
      </c>
      <c r="B94" s="19"/>
      <c r="C94" s="22"/>
      <c r="D94" s="18">
        <f>SUM(D87:D93)</f>
        <v>3993855.75</v>
      </c>
      <c r="F94" s="44">
        <f>D94-$D$18</f>
        <v>0</v>
      </c>
      <c r="G94" s="45"/>
    </row>
    <row r="95" spans="1:10" x14ac:dyDescent="0.35">
      <c r="A95" s="22" t="s">
        <v>25</v>
      </c>
      <c r="B95" s="19"/>
      <c r="C95" s="22"/>
      <c r="D95" s="18">
        <f>'Bouwkosten lager'!N10</f>
        <v>7326828.3207502225</v>
      </c>
      <c r="F95" s="44">
        <f>D95-$D$19</f>
        <v>496856.38994912617</v>
      </c>
      <c r="G95" s="45"/>
    </row>
    <row r="96" spans="1:10" ht="15" thickBot="1" x14ac:dyDescent="0.4">
      <c r="A96" s="23" t="s">
        <v>22</v>
      </c>
      <c r="B96" s="20"/>
      <c r="C96" s="23"/>
      <c r="D96" s="21">
        <f>D95-D94</f>
        <v>3332972.5707502225</v>
      </c>
      <c r="F96" s="46">
        <f>D96-$D$20</f>
        <v>496856.38994912617</v>
      </c>
      <c r="G96" s="47"/>
    </row>
    <row r="97" spans="1:10" ht="15" thickBot="1" x14ac:dyDescent="0.4">
      <c r="A97" s="70" t="s">
        <v>70</v>
      </c>
      <c r="B97" s="71">
        <v>7000</v>
      </c>
      <c r="C97" s="72">
        <f>SUM(I83:I85)</f>
        <v>37</v>
      </c>
      <c r="D97" s="73">
        <f>B97*C97</f>
        <v>259000</v>
      </c>
    </row>
    <row r="99" spans="1:10" s="37" customFormat="1" x14ac:dyDescent="0.35">
      <c r="A99" s="36" t="s">
        <v>38</v>
      </c>
    </row>
    <row r="100" spans="1:10" x14ac:dyDescent="0.35">
      <c r="A100" s="15" t="s">
        <v>30</v>
      </c>
      <c r="B100" s="57">
        <v>34270</v>
      </c>
      <c r="H100" t="str">
        <f>'Uitgeven x% extra'!A11</f>
        <v>PROGRAMMA</v>
      </c>
    </row>
    <row r="101" spans="1:10" x14ac:dyDescent="0.35">
      <c r="A101" s="15" t="s">
        <v>31</v>
      </c>
      <c r="B101" s="30">
        <f>B100-B103-B102</f>
        <v>12226.5</v>
      </c>
      <c r="C101" s="16">
        <f>B101/B100</f>
        <v>0.35676976947767725</v>
      </c>
      <c r="I101" t="str">
        <f>'Uitgeven x% extra'!B12</f>
        <v>aantal</v>
      </c>
      <c r="J101" t="str">
        <f>'Uitgeven x% extra'!D12</f>
        <v>aandeel</v>
      </c>
    </row>
    <row r="102" spans="1:10" x14ac:dyDescent="0.35">
      <c r="A102" s="15" t="s">
        <v>32</v>
      </c>
      <c r="B102" s="57">
        <v>7392</v>
      </c>
      <c r="C102" s="16">
        <f>B102/B100</f>
        <v>0.21569886197840676</v>
      </c>
      <c r="H102" t="str">
        <f>'Uitgeven x% extra'!A13</f>
        <v>sociale huur</v>
      </c>
      <c r="I102">
        <f>'Uitgeven x% extra'!B13</f>
        <v>15</v>
      </c>
      <c r="J102" s="31">
        <f>'Uitgeven x% extra'!D13</f>
        <v>0.21739130434782608</v>
      </c>
    </row>
    <row r="103" spans="1:10" x14ac:dyDescent="0.35">
      <c r="A103" s="15" t="s">
        <v>33</v>
      </c>
      <c r="B103" s="30">
        <f>'Uitgeven x% extra'!P10</f>
        <v>14651.5</v>
      </c>
      <c r="C103" s="16">
        <f>B103/B100</f>
        <v>0.42753136854391594</v>
      </c>
      <c r="D103" s="15" t="s">
        <v>37</v>
      </c>
      <c r="E103" s="28">
        <f>'Uitgeven x% extra'!O10</f>
        <v>662.80711499175015</v>
      </c>
      <c r="G103" s="1"/>
      <c r="H103" t="str">
        <f>'Uitgeven x% extra'!A14</f>
        <v>goedkope koop</v>
      </c>
      <c r="I103">
        <f>'Uitgeven x% extra'!B14</f>
        <v>16</v>
      </c>
      <c r="J103" s="31">
        <f>'Uitgeven x% extra'!D14</f>
        <v>0.2318840579710145</v>
      </c>
    </row>
    <row r="104" spans="1:10" x14ac:dyDescent="0.35">
      <c r="D104" s="1">
        <f>B103-B8</f>
        <v>386.5</v>
      </c>
      <c r="F104" s="53"/>
      <c r="H104" t="str">
        <f>'Uitgeven x% extra'!A15</f>
        <v>betaalbare koop</v>
      </c>
      <c r="I104">
        <f>'Uitgeven x% extra'!B15</f>
        <v>6</v>
      </c>
      <c r="J104" s="31">
        <f>'Uitgeven x% extra'!D15</f>
        <v>8.6956521739130432E-2</v>
      </c>
    </row>
    <row r="105" spans="1:10" x14ac:dyDescent="0.35">
      <c r="A105" s="15"/>
      <c r="B105" s="24" t="s">
        <v>16</v>
      </c>
      <c r="C105" s="15" t="s">
        <v>17</v>
      </c>
      <c r="D105" s="25" t="s">
        <v>18</v>
      </c>
      <c r="H105" t="str">
        <f>'Uitgeven x% extra'!A16</f>
        <v>dure koop</v>
      </c>
      <c r="I105">
        <f>'Uitgeven x% extra'!B16</f>
        <v>32</v>
      </c>
      <c r="J105" s="31">
        <f>'Uitgeven x% extra'!D16</f>
        <v>0.46376811594202899</v>
      </c>
    </row>
    <row r="106" spans="1:10" x14ac:dyDescent="0.35">
      <c r="A106" s="22" t="s">
        <v>47</v>
      </c>
      <c r="B106" s="54">
        <v>0</v>
      </c>
      <c r="C106" s="26">
        <f>C107</f>
        <v>34270</v>
      </c>
      <c r="D106" s="17">
        <f>B106*C106</f>
        <v>0</v>
      </c>
      <c r="H106" t="str">
        <f>'Uitgeven x% extra'!A18</f>
        <v>Totaal</v>
      </c>
      <c r="I106">
        <f>'Uitgeven x% extra'!B18</f>
        <v>69</v>
      </c>
      <c r="J106" s="60"/>
    </row>
    <row r="107" spans="1:10" x14ac:dyDescent="0.35">
      <c r="A107" s="22" t="s">
        <v>26</v>
      </c>
      <c r="B107" s="54">
        <v>45</v>
      </c>
      <c r="C107" s="26">
        <f>B100</f>
        <v>34270</v>
      </c>
      <c r="D107" s="17">
        <f t="shared" ref="D107:D112" si="5">B107*C107</f>
        <v>1542150</v>
      </c>
      <c r="G107" s="38"/>
      <c r="H107" t="s">
        <v>56</v>
      </c>
      <c r="I107" s="60">
        <f>I106/(B100/10000)</f>
        <v>20.134228187919462</v>
      </c>
    </row>
    <row r="108" spans="1:10" x14ac:dyDescent="0.35">
      <c r="A108" s="22" t="s">
        <v>27</v>
      </c>
      <c r="B108" s="55">
        <v>30</v>
      </c>
      <c r="C108" s="30">
        <f>B101</f>
        <v>12226.5</v>
      </c>
      <c r="D108" s="18">
        <f t="shared" si="5"/>
        <v>366795</v>
      </c>
      <c r="G108" s="38"/>
      <c r="H108" t="s">
        <v>54</v>
      </c>
      <c r="I108" s="14">
        <f>F115/I106</f>
        <v>5169.594153441948</v>
      </c>
    </row>
    <row r="109" spans="1:10" x14ac:dyDescent="0.35">
      <c r="A109" s="22" t="s">
        <v>28</v>
      </c>
      <c r="B109" s="55">
        <v>155</v>
      </c>
      <c r="C109" s="22">
        <f>B102</f>
        <v>7392</v>
      </c>
      <c r="D109" s="18">
        <f t="shared" si="5"/>
        <v>1145760</v>
      </c>
      <c r="G109" s="38"/>
      <c r="H109" t="s">
        <v>55</v>
      </c>
      <c r="I109" s="14"/>
    </row>
    <row r="110" spans="1:10" x14ac:dyDescent="0.35">
      <c r="A110" s="22" t="s">
        <v>19</v>
      </c>
      <c r="B110" s="56">
        <v>0.05</v>
      </c>
      <c r="C110" s="27">
        <f>SUM(D107:D109)</f>
        <v>3054705</v>
      </c>
      <c r="D110" s="18">
        <f t="shared" si="5"/>
        <v>152735.25</v>
      </c>
      <c r="G110" s="38"/>
    </row>
    <row r="111" spans="1:10" ht="15" thickBot="1" x14ac:dyDescent="0.4">
      <c r="A111" s="22" t="s">
        <v>20</v>
      </c>
      <c r="B111" s="56">
        <v>0.2</v>
      </c>
      <c r="C111" s="27">
        <f>SUM(D107:D109)</f>
        <v>3054705</v>
      </c>
      <c r="D111" s="18">
        <f t="shared" si="5"/>
        <v>610941</v>
      </c>
      <c r="G111" s="38"/>
    </row>
    <row r="112" spans="1:10" x14ac:dyDescent="0.35">
      <c r="A112" s="22" t="s">
        <v>21</v>
      </c>
      <c r="B112" s="56">
        <v>0.05</v>
      </c>
      <c r="C112" s="27">
        <f>C110+D110</f>
        <v>3207440.25</v>
      </c>
      <c r="D112" s="18">
        <f t="shared" si="5"/>
        <v>160372.01250000001</v>
      </c>
      <c r="F112" s="42" t="s">
        <v>39</v>
      </c>
      <c r="G112" s="43"/>
    </row>
    <row r="113" spans="1:7" x14ac:dyDescent="0.35">
      <c r="A113" s="22" t="s">
        <v>24</v>
      </c>
      <c r="B113" s="19"/>
      <c r="C113" s="22"/>
      <c r="D113" s="18">
        <f>SUM(D106:D112)</f>
        <v>3978753.2625000002</v>
      </c>
      <c r="F113" s="44">
        <f>D113-$D$18</f>
        <v>-15102.487499999814</v>
      </c>
      <c r="G113" s="45"/>
    </row>
    <row r="114" spans="1:7" x14ac:dyDescent="0.35">
      <c r="A114" s="22" t="s">
        <v>25</v>
      </c>
      <c r="B114" s="19"/>
      <c r="C114" s="22"/>
      <c r="D114" s="18">
        <f>'Uitgeven x% extra'!N10</f>
        <v>7171571.4398885909</v>
      </c>
      <c r="F114" s="44">
        <f>D114-$D$19</f>
        <v>341599.50908749457</v>
      </c>
      <c r="G114" s="45"/>
    </row>
    <row r="115" spans="1:7" ht="15" thickBot="1" x14ac:dyDescent="0.4">
      <c r="A115" s="23" t="s">
        <v>22</v>
      </c>
      <c r="B115" s="20"/>
      <c r="C115" s="23"/>
      <c r="D115" s="21">
        <f>D114-D113</f>
        <v>3192818.1773885908</v>
      </c>
      <c r="F115" s="46">
        <f>D115-$D$20</f>
        <v>356701.99658749439</v>
      </c>
      <c r="G115" s="47"/>
    </row>
    <row r="116" spans="1:7" ht="15" thickBot="1" x14ac:dyDescent="0.4">
      <c r="A116" s="70" t="s">
        <v>70</v>
      </c>
      <c r="B116" s="71">
        <v>7000</v>
      </c>
      <c r="C116" s="72">
        <f>SUM(I102:I104)</f>
        <v>37</v>
      </c>
      <c r="D116" s="73">
        <f>B116*C116</f>
        <v>259000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1870A-0119-484D-9FE2-4CAB995075D4}">
  <dimension ref="A1:Z57"/>
  <sheetViews>
    <sheetView zoomScale="115" zoomScaleNormal="115" workbookViewId="0">
      <selection activeCell="F24" sqref="F24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7.7265625" bestFit="1" customWidth="1"/>
    <col min="7" max="7" width="10.81640625" bestFit="1" customWidth="1"/>
    <col min="8" max="9" width="14.8164062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22" max="23" width="10.453125" bestFit="1" customWidth="1"/>
    <col min="24" max="24" width="9.36328125" bestFit="1" customWidth="1"/>
  </cols>
  <sheetData>
    <row r="1" spans="1:26" ht="15" thickBot="1" x14ac:dyDescent="0.4">
      <c r="A1" s="58" t="s">
        <v>48</v>
      </c>
      <c r="K1" s="59">
        <v>0.3</v>
      </c>
      <c r="L1" s="2"/>
    </row>
    <row r="2" spans="1:2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26" x14ac:dyDescent="0.35">
      <c r="A3" s="61">
        <v>15</v>
      </c>
      <c r="B3" t="s">
        <v>58</v>
      </c>
      <c r="C3" s="40"/>
      <c r="D3" s="41"/>
      <c r="E3" s="62">
        <v>120</v>
      </c>
      <c r="F3" s="62">
        <v>110</v>
      </c>
      <c r="G3" s="74"/>
      <c r="H3" s="74"/>
      <c r="I3" s="74"/>
      <c r="J3" s="74"/>
      <c r="K3" s="74"/>
      <c r="L3" s="74"/>
      <c r="M3" s="74"/>
      <c r="N3" s="75">
        <v>20000</v>
      </c>
      <c r="O3" s="76">
        <f t="shared" ref="O3:O7" si="0">N3/F3</f>
        <v>181.81818181818181</v>
      </c>
      <c r="P3" s="1">
        <f>A3*F3</f>
        <v>1650</v>
      </c>
    </row>
    <row r="4" spans="1:26" x14ac:dyDescent="0.35">
      <c r="A4" s="61">
        <v>5</v>
      </c>
      <c r="B4" t="s">
        <v>62</v>
      </c>
      <c r="C4" s="61">
        <v>70</v>
      </c>
      <c r="D4" s="3">
        <f>Bouwkosten!F3</f>
        <v>0.7</v>
      </c>
      <c r="E4" s="1">
        <f t="shared" ref="E4:E8" si="1">C4/D4</f>
        <v>100</v>
      </c>
      <c r="F4" s="62">
        <v>95</v>
      </c>
      <c r="G4" s="75">
        <v>4200</v>
      </c>
      <c r="H4" s="76">
        <f t="shared" ref="H4:H8" si="2">G4*C4</f>
        <v>294000</v>
      </c>
      <c r="I4" s="76">
        <f t="shared" ref="I4:I8" si="3">H4/1.21</f>
        <v>242975.20661157026</v>
      </c>
      <c r="J4" s="75">
        <f>Bouwkosten!H3</f>
        <v>1356</v>
      </c>
      <c r="K4" s="76">
        <f t="shared" ref="K4:K8" si="4">J4*$K$1</f>
        <v>406.8</v>
      </c>
      <c r="L4" s="76">
        <f t="shared" ref="L4:L8" si="5">J4+K4</f>
        <v>1762.8</v>
      </c>
      <c r="M4" s="76">
        <f>L4*E4</f>
        <v>176280</v>
      </c>
      <c r="N4" s="76">
        <f>I4-M4</f>
        <v>66695.206611570262</v>
      </c>
      <c r="O4" s="76">
        <f t="shared" si="0"/>
        <v>702.05480643758176</v>
      </c>
      <c r="P4" s="1">
        <f>A4*F4</f>
        <v>475</v>
      </c>
      <c r="S4" s="53"/>
      <c r="T4" s="53"/>
      <c r="U4" s="53"/>
      <c r="V4" s="53"/>
      <c r="W4" s="53"/>
      <c r="X4" s="53"/>
      <c r="Y4" s="53"/>
      <c r="Z4" s="1"/>
    </row>
    <row r="5" spans="1:26" x14ac:dyDescent="0.35">
      <c r="A5" s="61">
        <v>6</v>
      </c>
      <c r="B5" t="s">
        <v>63</v>
      </c>
      <c r="C5" s="61">
        <v>100</v>
      </c>
      <c r="D5" s="3">
        <f>Bouwkosten!F4</f>
        <v>0.73</v>
      </c>
      <c r="E5" s="1">
        <f t="shared" si="1"/>
        <v>136.98630136986301</v>
      </c>
      <c r="F5" s="62">
        <v>125</v>
      </c>
      <c r="G5" s="75">
        <v>4200</v>
      </c>
      <c r="H5" s="76">
        <f t="shared" si="2"/>
        <v>420000</v>
      </c>
      <c r="I5" s="76">
        <f t="shared" si="3"/>
        <v>347107.43801652896</v>
      </c>
      <c r="J5" s="75">
        <f>Bouwkosten!H4</f>
        <v>1429</v>
      </c>
      <c r="K5" s="76">
        <f t="shared" si="4"/>
        <v>428.7</v>
      </c>
      <c r="L5" s="76">
        <f t="shared" si="5"/>
        <v>1857.7</v>
      </c>
      <c r="M5" s="76">
        <f t="shared" ref="M5:M8" si="6">L5*E5</f>
        <v>254479.45205479453</v>
      </c>
      <c r="N5" s="76">
        <f>I5-M5</f>
        <v>92627.985961734434</v>
      </c>
      <c r="O5" s="76">
        <f t="shared" si="0"/>
        <v>741.02388769387551</v>
      </c>
      <c r="P5" s="1">
        <f t="shared" ref="P5:P8" si="7">A5*F5</f>
        <v>750</v>
      </c>
    </row>
    <row r="6" spans="1:26" x14ac:dyDescent="0.35">
      <c r="A6" s="61">
        <v>11</v>
      </c>
      <c r="B6" t="s">
        <v>59</v>
      </c>
      <c r="C6" s="61">
        <v>65</v>
      </c>
      <c r="D6" s="3">
        <f>Bouwkosten!F5</f>
        <v>0.72</v>
      </c>
      <c r="E6" s="1">
        <f t="shared" si="1"/>
        <v>90.277777777777786</v>
      </c>
      <c r="F6" s="62">
        <v>90</v>
      </c>
      <c r="G6" s="75">
        <v>4050</v>
      </c>
      <c r="H6" s="76">
        <f t="shared" si="2"/>
        <v>263250</v>
      </c>
      <c r="I6" s="76">
        <f t="shared" si="3"/>
        <v>217561.98347107437</v>
      </c>
      <c r="J6" s="75">
        <f>Bouwkosten!H5</f>
        <v>1364</v>
      </c>
      <c r="K6" s="76">
        <f t="shared" si="4"/>
        <v>409.2</v>
      </c>
      <c r="L6" s="76">
        <f t="shared" si="5"/>
        <v>1773.2</v>
      </c>
      <c r="M6" s="76">
        <f t="shared" si="6"/>
        <v>160080.55555555556</v>
      </c>
      <c r="N6" s="76">
        <f t="shared" ref="N6:N8" si="8">I6-M6</f>
        <v>57481.427915518812</v>
      </c>
      <c r="O6" s="76">
        <f t="shared" si="0"/>
        <v>638.68253239465344</v>
      </c>
      <c r="P6" s="1">
        <f t="shared" si="7"/>
        <v>990</v>
      </c>
    </row>
    <row r="7" spans="1:26" x14ac:dyDescent="0.35">
      <c r="A7" s="61">
        <v>24</v>
      </c>
      <c r="B7" t="s">
        <v>60</v>
      </c>
      <c r="C7" s="61">
        <v>140</v>
      </c>
      <c r="D7" s="3">
        <f>Bouwkosten!F6</f>
        <v>0.76</v>
      </c>
      <c r="E7" s="1">
        <f t="shared" ref="E7" si="9">C7/D7</f>
        <v>184.21052631578948</v>
      </c>
      <c r="F7" s="62">
        <v>300</v>
      </c>
      <c r="G7" s="75">
        <v>4325</v>
      </c>
      <c r="H7" s="76">
        <f t="shared" si="2"/>
        <v>605500</v>
      </c>
      <c r="I7" s="76">
        <f t="shared" si="3"/>
        <v>500413.22314049589</v>
      </c>
      <c r="J7" s="75">
        <f>Bouwkosten!H6</f>
        <v>1506</v>
      </c>
      <c r="K7" s="76">
        <f t="shared" si="4"/>
        <v>451.8</v>
      </c>
      <c r="L7" s="76">
        <f t="shared" si="5"/>
        <v>1957.8</v>
      </c>
      <c r="M7" s="76">
        <f t="shared" si="6"/>
        <v>360647.36842105264</v>
      </c>
      <c r="N7" s="76">
        <f t="shared" si="8"/>
        <v>139765.85471944325</v>
      </c>
      <c r="O7" s="76">
        <f t="shared" si="0"/>
        <v>465.88618239814417</v>
      </c>
      <c r="P7" s="1">
        <f t="shared" si="7"/>
        <v>7200</v>
      </c>
    </row>
    <row r="8" spans="1:26" x14ac:dyDescent="0.35">
      <c r="A8" s="61">
        <v>8</v>
      </c>
      <c r="B8" t="s">
        <v>61</v>
      </c>
      <c r="C8" s="61">
        <v>150</v>
      </c>
      <c r="D8" s="3">
        <f>Bouwkosten!F7</f>
        <v>0.76</v>
      </c>
      <c r="E8" s="1">
        <f t="shared" si="1"/>
        <v>197.36842105263159</v>
      </c>
      <c r="F8" s="62">
        <v>400</v>
      </c>
      <c r="G8" s="75">
        <v>4700</v>
      </c>
      <c r="H8" s="76">
        <f t="shared" si="2"/>
        <v>705000</v>
      </c>
      <c r="I8" s="76">
        <f t="shared" si="3"/>
        <v>582644.62809917354</v>
      </c>
      <c r="J8" s="75">
        <f>Bouwkosten!H7</f>
        <v>1465</v>
      </c>
      <c r="K8" s="76">
        <f t="shared" si="4"/>
        <v>439.5</v>
      </c>
      <c r="L8" s="76">
        <f t="shared" si="5"/>
        <v>1904.5</v>
      </c>
      <c r="M8" s="76">
        <f t="shared" si="6"/>
        <v>375888.15789473685</v>
      </c>
      <c r="N8" s="76">
        <f t="shared" si="8"/>
        <v>206756.47020443669</v>
      </c>
      <c r="O8" s="76">
        <f t="shared" ref="O8" si="10">N8/F8</f>
        <v>516.89117551109166</v>
      </c>
      <c r="P8" s="1">
        <f t="shared" si="7"/>
        <v>3200</v>
      </c>
    </row>
    <row r="9" spans="1:26" x14ac:dyDescent="0.35">
      <c r="I9" s="1"/>
      <c r="K9" s="1"/>
      <c r="L9" s="1"/>
      <c r="M9" s="1"/>
      <c r="N9" s="1"/>
      <c r="O9" s="1"/>
    </row>
    <row r="10" spans="1:26" x14ac:dyDescent="0.35">
      <c r="F10" s="1">
        <f>SUMPRODUCT(A3:A8,F3:F8)</f>
        <v>14265</v>
      </c>
      <c r="I10" s="1"/>
      <c r="K10" s="1"/>
      <c r="N10" s="1">
        <f>SUMPRODUCT(A3:A8,N3:N8)</f>
        <v>6829971.9308010964</v>
      </c>
      <c r="P10" s="1">
        <f>SUM(P3:P9)</f>
        <v>14265</v>
      </c>
    </row>
    <row r="11" spans="1:26" x14ac:dyDescent="0.35">
      <c r="A11" s="48" t="s">
        <v>45</v>
      </c>
      <c r="B11" s="48"/>
      <c r="C11" s="48"/>
      <c r="D11" s="48"/>
      <c r="H11" s="52"/>
      <c r="I11" s="31"/>
      <c r="J11" s="31"/>
      <c r="K11" s="31"/>
      <c r="L11" s="39"/>
    </row>
    <row r="12" spans="1:26" x14ac:dyDescent="0.35">
      <c r="A12" s="48"/>
      <c r="B12" s="48" t="s">
        <v>0</v>
      </c>
      <c r="C12" s="48"/>
      <c r="D12" s="48" t="s">
        <v>44</v>
      </c>
      <c r="H12" s="52"/>
      <c r="L12" s="39"/>
    </row>
    <row r="13" spans="1:26" x14ac:dyDescent="0.35">
      <c r="A13" s="48" t="s">
        <v>40</v>
      </c>
      <c r="B13" s="49">
        <f>SUM(A3:A3)</f>
        <v>15</v>
      </c>
      <c r="C13" s="49"/>
      <c r="D13" s="50">
        <f>SUM(B13/$B$18)</f>
        <v>0.21739130434782608</v>
      </c>
      <c r="H13" s="38"/>
      <c r="I13" s="38"/>
      <c r="L13" s="39"/>
      <c r="M13" s="1"/>
    </row>
    <row r="14" spans="1:26" x14ac:dyDescent="0.35">
      <c r="A14" s="48" t="s">
        <v>41</v>
      </c>
      <c r="B14" s="49">
        <f>SUM(A4,A6)</f>
        <v>16</v>
      </c>
      <c r="C14" s="49"/>
      <c r="D14" s="50">
        <f t="shared" ref="D14:D16" si="11">SUM(B14/$B$18)</f>
        <v>0.2318840579710145</v>
      </c>
      <c r="H14" s="38"/>
      <c r="I14" s="38"/>
      <c r="L14" s="39"/>
      <c r="M14" s="1"/>
    </row>
    <row r="15" spans="1:26" x14ac:dyDescent="0.35">
      <c r="A15" s="48" t="s">
        <v>42</v>
      </c>
      <c r="B15" s="49">
        <f>SUM(A5)</f>
        <v>6</v>
      </c>
      <c r="C15" s="49"/>
      <c r="D15" s="50">
        <f t="shared" si="11"/>
        <v>8.6956521739130432E-2</v>
      </c>
      <c r="H15" s="38"/>
      <c r="I15" s="38"/>
      <c r="J15" s="31"/>
      <c r="L15" s="39"/>
      <c r="M15" s="1"/>
    </row>
    <row r="16" spans="1:26" x14ac:dyDescent="0.35">
      <c r="A16" s="48" t="s">
        <v>43</v>
      </c>
      <c r="B16" s="49">
        <f>SUM(A7:A8)</f>
        <v>32</v>
      </c>
      <c r="C16" s="49"/>
      <c r="D16" s="50">
        <f t="shared" si="11"/>
        <v>0.46376811594202899</v>
      </c>
      <c r="H16" s="38"/>
      <c r="I16" s="38"/>
      <c r="J16" s="31"/>
      <c r="L16" s="39"/>
      <c r="M16" s="1"/>
    </row>
    <row r="17" spans="1:16" x14ac:dyDescent="0.35">
      <c r="A17" s="48"/>
      <c r="B17" s="49"/>
      <c r="C17" s="49"/>
      <c r="D17" s="49"/>
      <c r="H17" s="38"/>
      <c r="I17" s="38"/>
      <c r="L17" s="39"/>
      <c r="M17" s="1"/>
    </row>
    <row r="18" spans="1:16" x14ac:dyDescent="0.35">
      <c r="A18" s="48" t="s">
        <v>46</v>
      </c>
      <c r="B18" s="49">
        <f>SUM(B13:B16)</f>
        <v>69</v>
      </c>
      <c r="C18" s="49"/>
      <c r="D18" s="51">
        <f>SUM(D13:D16)</f>
        <v>1</v>
      </c>
      <c r="H18" s="38"/>
      <c r="I18" s="38"/>
      <c r="L18" s="39"/>
      <c r="M18" s="1"/>
    </row>
    <row r="19" spans="1:16" x14ac:dyDescent="0.35">
      <c r="H19" s="38"/>
      <c r="I19" s="38"/>
      <c r="L19" s="39"/>
      <c r="M19" s="1"/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5">
      <c r="H22" s="38"/>
      <c r="I22" s="38"/>
      <c r="L22" s="39"/>
      <c r="M22" s="1"/>
    </row>
    <row r="23" spans="1:16" x14ac:dyDescent="0.35">
      <c r="E23" s="1"/>
      <c r="F23" s="1"/>
      <c r="H23" s="38"/>
      <c r="I23" s="38"/>
      <c r="M23" s="1"/>
      <c r="N23" s="1"/>
      <c r="O23" s="1"/>
      <c r="P23" s="1"/>
    </row>
    <row r="24" spans="1:16" x14ac:dyDescent="0.35">
      <c r="H24" s="38"/>
      <c r="I24" s="38"/>
      <c r="M24" s="1"/>
    </row>
    <row r="28" spans="1:16" x14ac:dyDescent="0.35">
      <c r="J28" s="69"/>
      <c r="K28" s="69"/>
    </row>
    <row r="29" spans="1:16" x14ac:dyDescent="0.35">
      <c r="J29" s="69"/>
      <c r="K29" s="69"/>
    </row>
    <row r="30" spans="1:16" x14ac:dyDescent="0.35">
      <c r="J30" s="69"/>
      <c r="K30" s="69"/>
    </row>
    <row r="31" spans="1:16" x14ac:dyDescent="0.35">
      <c r="J31" s="69"/>
      <c r="K31" s="69"/>
    </row>
    <row r="32" spans="1:16" x14ac:dyDescent="0.35">
      <c r="E32" s="6"/>
      <c r="J32" s="69"/>
      <c r="K32" s="69"/>
    </row>
    <row r="33" spans="5:11" x14ac:dyDescent="0.35">
      <c r="J33" s="69"/>
      <c r="K33" s="69"/>
    </row>
    <row r="34" spans="5:11" x14ac:dyDescent="0.35">
      <c r="J34" s="69"/>
      <c r="K34" s="69"/>
    </row>
    <row r="35" spans="5:11" x14ac:dyDescent="0.35">
      <c r="J35" s="69"/>
      <c r="K35" s="69"/>
    </row>
    <row r="36" spans="5:11" x14ac:dyDescent="0.35">
      <c r="J36" s="69"/>
      <c r="K36" s="69"/>
    </row>
    <row r="37" spans="5:11" x14ac:dyDescent="0.35">
      <c r="J37" s="69"/>
      <c r="K37" s="69"/>
    </row>
    <row r="38" spans="5:11" x14ac:dyDescent="0.35">
      <c r="E38" s="6"/>
      <c r="J38" s="69"/>
      <c r="K38" s="69"/>
    </row>
    <row r="39" spans="5:11" x14ac:dyDescent="0.35">
      <c r="E39" s="6"/>
      <c r="J39" s="69"/>
      <c r="K39" s="69"/>
    </row>
    <row r="40" spans="5:11" x14ac:dyDescent="0.35">
      <c r="J40" s="69"/>
      <c r="K40" s="69"/>
    </row>
    <row r="41" spans="5:11" x14ac:dyDescent="0.35">
      <c r="J41" s="69"/>
      <c r="K41" s="69"/>
    </row>
    <row r="42" spans="5:11" x14ac:dyDescent="0.35">
      <c r="J42" s="69"/>
      <c r="K42" s="69"/>
    </row>
    <row r="43" spans="5:11" x14ac:dyDescent="0.35">
      <c r="J43" s="69"/>
      <c r="K43" s="69"/>
    </row>
    <row r="44" spans="5:11" x14ac:dyDescent="0.35">
      <c r="J44" s="69"/>
      <c r="K44" s="69"/>
    </row>
    <row r="45" spans="5:11" x14ac:dyDescent="0.35">
      <c r="J45" s="69"/>
      <c r="K45" s="69"/>
    </row>
    <row r="46" spans="5:11" x14ac:dyDescent="0.35">
      <c r="E46" s="6"/>
      <c r="J46" s="69"/>
      <c r="K46" s="69"/>
    </row>
    <row r="47" spans="5:11" x14ac:dyDescent="0.35">
      <c r="J47" s="69"/>
      <c r="K47" s="69"/>
    </row>
    <row r="48" spans="5:11" x14ac:dyDescent="0.35">
      <c r="J48" s="69"/>
      <c r="K48" s="69"/>
    </row>
    <row r="49" spans="9:11" x14ac:dyDescent="0.35">
      <c r="J49" s="69"/>
      <c r="K49" s="69"/>
    </row>
    <row r="50" spans="9:11" x14ac:dyDescent="0.35">
      <c r="J50" s="69"/>
      <c r="K50" s="69"/>
    </row>
    <row r="51" spans="9:11" x14ac:dyDescent="0.35">
      <c r="J51" s="69"/>
      <c r="K51" s="69"/>
    </row>
    <row r="52" spans="9:11" x14ac:dyDescent="0.35">
      <c r="J52" s="69"/>
      <c r="K52" s="69"/>
    </row>
    <row r="53" spans="9:11" x14ac:dyDescent="0.35">
      <c r="J53" s="69"/>
      <c r="K53" s="69"/>
    </row>
    <row r="54" spans="9:11" x14ac:dyDescent="0.35">
      <c r="J54" s="69"/>
      <c r="K54" s="69"/>
    </row>
    <row r="55" spans="9:11" x14ac:dyDescent="0.35">
      <c r="J55" s="69"/>
      <c r="K55" s="69"/>
    </row>
    <row r="56" spans="9:11" x14ac:dyDescent="0.35">
      <c r="J56" s="69"/>
      <c r="K56" s="69"/>
    </row>
    <row r="57" spans="9:11" x14ac:dyDescent="0.35">
      <c r="I57" s="1"/>
      <c r="J57" s="69"/>
      <c r="K57" s="6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C8CEE-636A-4AB3-93C7-324FDC685161}">
  <dimension ref="A1:P67"/>
  <sheetViews>
    <sheetView zoomScale="115" zoomScaleNormal="115" workbookViewId="0">
      <selection activeCell="G3" sqref="G3:O8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7.7265625" bestFit="1" customWidth="1"/>
    <col min="7" max="7" width="10.81640625" bestFit="1" customWidth="1"/>
    <col min="8" max="9" width="13.179687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17" max="17" width="24" customWidth="1"/>
  </cols>
  <sheetData>
    <row r="1" spans="1:16" x14ac:dyDescent="0.35">
      <c r="K1" s="68">
        <f>Standaard!K1</f>
        <v>0.3</v>
      </c>
      <c r="L1" s="2"/>
    </row>
    <row r="2" spans="1:1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35">
      <c r="A3" s="61">
        <v>21</v>
      </c>
      <c r="B3" t="s">
        <v>58</v>
      </c>
      <c r="C3" s="40"/>
      <c r="D3" s="40"/>
      <c r="E3" s="67">
        <v>120</v>
      </c>
      <c r="F3" s="67">
        <v>125</v>
      </c>
      <c r="G3" s="74"/>
      <c r="H3" s="74"/>
      <c r="I3" s="74"/>
      <c r="J3" s="74"/>
      <c r="K3" s="74"/>
      <c r="L3" s="74"/>
      <c r="M3" s="74"/>
      <c r="N3" s="77">
        <f>Standaard!N3</f>
        <v>20000</v>
      </c>
      <c r="O3" s="76">
        <f t="shared" ref="O3:O8" si="0">N3/F3</f>
        <v>160</v>
      </c>
      <c r="P3">
        <f>A3*F3</f>
        <v>2625</v>
      </c>
    </row>
    <row r="4" spans="1:16" x14ac:dyDescent="0.35">
      <c r="A4" s="61">
        <v>5</v>
      </c>
      <c r="B4" t="s">
        <v>62</v>
      </c>
      <c r="C4" s="65">
        <f>Standaard!C4</f>
        <v>70</v>
      </c>
      <c r="D4" s="66">
        <v>0.77</v>
      </c>
      <c r="E4" s="67">
        <f t="shared" ref="E4:E8" si="1">C4/D4</f>
        <v>90.909090909090907</v>
      </c>
      <c r="F4" s="67">
        <f>Standaard!F4</f>
        <v>95</v>
      </c>
      <c r="G4" s="77">
        <f>Standaard!G4</f>
        <v>4200</v>
      </c>
      <c r="H4" s="76">
        <f t="shared" ref="H4:H8" si="2">G4*C4</f>
        <v>294000</v>
      </c>
      <c r="I4" s="76">
        <f t="shared" ref="I4:I8" si="3">H4/1.21</f>
        <v>242975.20661157026</v>
      </c>
      <c r="J4" s="77">
        <f>Standaard!J4</f>
        <v>1356</v>
      </c>
      <c r="K4" s="76">
        <f t="shared" ref="K4:K8" si="4">J4*$K$1</f>
        <v>406.8</v>
      </c>
      <c r="L4" s="76">
        <f t="shared" ref="L4:L8" si="5">J4+K4</f>
        <v>1762.8</v>
      </c>
      <c r="M4" s="76">
        <f t="shared" ref="M4:M8" si="6">L4*E4</f>
        <v>160254.54545454544</v>
      </c>
      <c r="N4" s="76">
        <f t="shared" ref="N4:N8" si="7">I4-M4</f>
        <v>82720.661157024821</v>
      </c>
      <c r="O4" s="76">
        <f t="shared" si="0"/>
        <v>870.7438016528929</v>
      </c>
      <c r="P4">
        <f t="shared" ref="P4:P8" si="8">A4*F4</f>
        <v>475</v>
      </c>
    </row>
    <row r="5" spans="1:16" x14ac:dyDescent="0.35">
      <c r="A5" s="61">
        <v>6</v>
      </c>
      <c r="B5" t="s">
        <v>63</v>
      </c>
      <c r="C5" s="65">
        <f>Standaard!C5</f>
        <v>100</v>
      </c>
      <c r="D5" s="66">
        <v>0.77</v>
      </c>
      <c r="E5" s="67">
        <f t="shared" si="1"/>
        <v>129.87012987012986</v>
      </c>
      <c r="F5" s="67">
        <f>Standaard!F5</f>
        <v>125</v>
      </c>
      <c r="G5" s="77">
        <f>Standaard!G5</f>
        <v>4200</v>
      </c>
      <c r="H5" s="76">
        <f t="shared" si="2"/>
        <v>420000</v>
      </c>
      <c r="I5" s="76">
        <f t="shared" si="3"/>
        <v>347107.43801652896</v>
      </c>
      <c r="J5" s="77">
        <f>Standaard!J5</f>
        <v>1429</v>
      </c>
      <c r="K5" s="76">
        <f t="shared" si="4"/>
        <v>428.7</v>
      </c>
      <c r="L5" s="76">
        <f t="shared" si="5"/>
        <v>1857.7</v>
      </c>
      <c r="M5" s="76">
        <f t="shared" si="6"/>
        <v>241259.74025974024</v>
      </c>
      <c r="N5" s="76">
        <f t="shared" si="7"/>
        <v>105847.69775678872</v>
      </c>
      <c r="O5" s="76">
        <f t="shared" si="0"/>
        <v>846.78158205430975</v>
      </c>
      <c r="P5">
        <f t="shared" si="8"/>
        <v>750</v>
      </c>
    </row>
    <row r="6" spans="1:16" x14ac:dyDescent="0.35">
      <c r="A6" s="61">
        <v>11</v>
      </c>
      <c r="B6" t="s">
        <v>59</v>
      </c>
      <c r="C6" s="65">
        <f>Standaard!C6</f>
        <v>65</v>
      </c>
      <c r="D6" s="66">
        <v>0.72</v>
      </c>
      <c r="E6" s="67">
        <f t="shared" si="1"/>
        <v>90.277777777777786</v>
      </c>
      <c r="F6" s="67">
        <f>Standaard!F6</f>
        <v>90</v>
      </c>
      <c r="G6" s="77">
        <f>Standaard!G6</f>
        <v>4050</v>
      </c>
      <c r="H6" s="76">
        <f t="shared" si="2"/>
        <v>263250</v>
      </c>
      <c r="I6" s="76">
        <f t="shared" si="3"/>
        <v>217561.98347107437</v>
      </c>
      <c r="J6" s="77">
        <f>Standaard!J6</f>
        <v>1364</v>
      </c>
      <c r="K6" s="76">
        <f t="shared" si="4"/>
        <v>409.2</v>
      </c>
      <c r="L6" s="76">
        <f t="shared" si="5"/>
        <v>1773.2</v>
      </c>
      <c r="M6" s="76">
        <f t="shared" si="6"/>
        <v>160080.55555555556</v>
      </c>
      <c r="N6" s="76">
        <f t="shared" si="7"/>
        <v>57481.427915518812</v>
      </c>
      <c r="O6" s="76">
        <f t="shared" si="0"/>
        <v>638.68253239465344</v>
      </c>
      <c r="P6">
        <f t="shared" si="8"/>
        <v>990</v>
      </c>
    </row>
    <row r="7" spans="1:16" x14ac:dyDescent="0.35">
      <c r="A7" s="61">
        <v>18</v>
      </c>
      <c r="B7" t="s">
        <v>60</v>
      </c>
      <c r="C7" s="65">
        <f>Standaard!C7</f>
        <v>140</v>
      </c>
      <c r="D7" s="66">
        <v>0.76</v>
      </c>
      <c r="E7" s="67">
        <f t="shared" ref="E7" si="9">C7/D7</f>
        <v>184.21052631578948</v>
      </c>
      <c r="F7" s="67">
        <f>Standaard!F7</f>
        <v>300</v>
      </c>
      <c r="G7" s="77">
        <f>Standaard!G7</f>
        <v>4325</v>
      </c>
      <c r="H7" s="76">
        <f t="shared" si="2"/>
        <v>605500</v>
      </c>
      <c r="I7" s="76">
        <f t="shared" si="3"/>
        <v>500413.22314049589</v>
      </c>
      <c r="J7" s="77">
        <f>Standaard!J7</f>
        <v>1506</v>
      </c>
      <c r="K7" s="76">
        <f t="shared" si="4"/>
        <v>451.8</v>
      </c>
      <c r="L7" s="76">
        <f t="shared" si="5"/>
        <v>1957.8</v>
      </c>
      <c r="M7" s="76">
        <f t="shared" si="6"/>
        <v>360647.36842105264</v>
      </c>
      <c r="N7" s="76">
        <f t="shared" si="7"/>
        <v>139765.85471944325</v>
      </c>
      <c r="O7" s="76">
        <f t="shared" si="0"/>
        <v>465.88618239814417</v>
      </c>
      <c r="P7" s="1">
        <f t="shared" si="8"/>
        <v>5400</v>
      </c>
    </row>
    <row r="8" spans="1:16" x14ac:dyDescent="0.35">
      <c r="A8" s="61">
        <v>8</v>
      </c>
      <c r="B8" t="s">
        <v>61</v>
      </c>
      <c r="C8" s="65">
        <f>Standaard!C8</f>
        <v>150</v>
      </c>
      <c r="D8" s="66">
        <v>0.76</v>
      </c>
      <c r="E8" s="67">
        <f t="shared" si="1"/>
        <v>197.36842105263159</v>
      </c>
      <c r="F8" s="67">
        <f>Standaard!F8</f>
        <v>400</v>
      </c>
      <c r="G8" s="77">
        <f>Standaard!G8</f>
        <v>4700</v>
      </c>
      <c r="H8" s="76">
        <f t="shared" si="2"/>
        <v>705000</v>
      </c>
      <c r="I8" s="76">
        <f t="shared" si="3"/>
        <v>582644.62809917354</v>
      </c>
      <c r="J8" s="77">
        <f>Standaard!J8</f>
        <v>1465</v>
      </c>
      <c r="K8" s="76">
        <f t="shared" si="4"/>
        <v>439.5</v>
      </c>
      <c r="L8" s="76">
        <f t="shared" si="5"/>
        <v>1904.5</v>
      </c>
      <c r="M8" s="76">
        <f t="shared" si="6"/>
        <v>375888.15789473685</v>
      </c>
      <c r="N8" s="76">
        <f t="shared" si="7"/>
        <v>206756.47020443669</v>
      </c>
      <c r="O8" s="76">
        <f t="shared" si="0"/>
        <v>516.89117551109166</v>
      </c>
      <c r="P8" s="1">
        <f t="shared" si="8"/>
        <v>3200</v>
      </c>
    </row>
    <row r="9" spans="1:16" x14ac:dyDescent="0.35">
      <c r="I9" s="1"/>
      <c r="K9" s="1"/>
      <c r="L9" s="1"/>
      <c r="M9" s="1"/>
      <c r="N9" s="1"/>
      <c r="O9" s="1"/>
    </row>
    <row r="10" spans="1:16" x14ac:dyDescent="0.35">
      <c r="F10" s="1">
        <f>SUMPRODUCT(A3:A8,F3:F8)</f>
        <v>13440</v>
      </c>
      <c r="I10" s="1"/>
      <c r="K10" s="1"/>
      <c r="N10" s="1">
        <f>SUMPRODUCT(A3:A8,N3:N8)</f>
        <v>6270822.3459820356</v>
      </c>
      <c r="P10" s="1">
        <f>SUM(P3:P9)</f>
        <v>13440</v>
      </c>
    </row>
    <row r="11" spans="1:16" x14ac:dyDescent="0.35">
      <c r="A11" s="48" t="s">
        <v>45</v>
      </c>
      <c r="B11" s="48"/>
      <c r="C11" s="48"/>
      <c r="D11" s="48"/>
      <c r="H11" s="31"/>
      <c r="I11" s="31"/>
      <c r="J11" s="31"/>
      <c r="K11" s="31"/>
    </row>
    <row r="12" spans="1:16" x14ac:dyDescent="0.35">
      <c r="A12" s="48"/>
      <c r="B12" s="48" t="s">
        <v>0</v>
      </c>
      <c r="C12" s="48"/>
      <c r="D12" s="48" t="s">
        <v>44</v>
      </c>
    </row>
    <row r="13" spans="1:16" x14ac:dyDescent="0.35">
      <c r="A13" s="48" t="s">
        <v>40</v>
      </c>
      <c r="B13" s="49">
        <f>SUM(A3:A3)</f>
        <v>21</v>
      </c>
      <c r="C13" s="49"/>
      <c r="D13" s="50">
        <f>SUM(B13/$B$18)</f>
        <v>0.30434782608695654</v>
      </c>
      <c r="I13" s="2"/>
    </row>
    <row r="14" spans="1:16" x14ac:dyDescent="0.35">
      <c r="A14" s="48" t="s">
        <v>41</v>
      </c>
      <c r="B14" s="49">
        <f>SUM(A4,A6)</f>
        <v>16</v>
      </c>
      <c r="C14" s="49"/>
      <c r="D14" s="50">
        <f t="shared" ref="D14:D16" si="10">SUM(B14/$B$18)</f>
        <v>0.2318840579710145</v>
      </c>
    </row>
    <row r="15" spans="1:16" x14ac:dyDescent="0.35">
      <c r="A15" s="48" t="s">
        <v>42</v>
      </c>
      <c r="B15" s="49">
        <f>SUM(A5)</f>
        <v>6</v>
      </c>
      <c r="C15" s="49"/>
      <c r="D15" s="50">
        <f t="shared" si="10"/>
        <v>8.6956521739130432E-2</v>
      </c>
      <c r="J15" s="31"/>
    </row>
    <row r="16" spans="1:16" x14ac:dyDescent="0.35">
      <c r="A16" s="48" t="s">
        <v>43</v>
      </c>
      <c r="B16" s="49">
        <f>SUM(A7:A8)</f>
        <v>26</v>
      </c>
      <c r="C16" s="49"/>
      <c r="D16" s="50">
        <f t="shared" si="10"/>
        <v>0.37681159420289856</v>
      </c>
      <c r="J16" s="31"/>
    </row>
    <row r="17" spans="1:16" x14ac:dyDescent="0.35">
      <c r="A17" s="48"/>
      <c r="B17" s="49"/>
      <c r="C17" s="49"/>
      <c r="D17" s="49"/>
    </row>
    <row r="18" spans="1:16" x14ac:dyDescent="0.35">
      <c r="A18" s="48" t="s">
        <v>46</v>
      </c>
      <c r="B18" s="49">
        <f>SUM(B13:B16)</f>
        <v>69</v>
      </c>
      <c r="C18" s="49"/>
      <c r="D18" s="51">
        <f>SUM(D13:D16)</f>
        <v>1</v>
      </c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3" spans="1:16" x14ac:dyDescent="0.35">
      <c r="E23" s="1"/>
      <c r="F23" s="1"/>
      <c r="N23" s="1"/>
      <c r="O23" s="1"/>
      <c r="P23" s="1"/>
    </row>
    <row r="55" spans="6:8" x14ac:dyDescent="0.35">
      <c r="F55" s="4"/>
      <c r="G55" s="5"/>
      <c r="H55" s="6"/>
    </row>
    <row r="56" spans="6:8" x14ac:dyDescent="0.35">
      <c r="F56" s="4"/>
      <c r="G56" s="5"/>
      <c r="H56" s="6"/>
    </row>
    <row r="57" spans="6:8" x14ac:dyDescent="0.35">
      <c r="F57" s="4"/>
      <c r="G57" s="5"/>
      <c r="H57" s="6"/>
    </row>
    <row r="58" spans="6:8" x14ac:dyDescent="0.35">
      <c r="F58" s="4"/>
      <c r="G58" s="5"/>
      <c r="H58" s="6"/>
    </row>
    <row r="59" spans="6:8" x14ac:dyDescent="0.35">
      <c r="F59" s="7"/>
      <c r="G59" s="7"/>
      <c r="H59" s="8"/>
    </row>
    <row r="60" spans="6:8" x14ac:dyDescent="0.35">
      <c r="F60" s="9"/>
      <c r="G60" s="10"/>
      <c r="H60" s="11"/>
    </row>
    <row r="61" spans="6:8" x14ac:dyDescent="0.35">
      <c r="F61" s="9"/>
      <c r="G61" s="10"/>
      <c r="H61" s="11"/>
    </row>
    <row r="62" spans="6:8" x14ac:dyDescent="0.35">
      <c r="F62" s="12"/>
      <c r="G62" s="13"/>
      <c r="H62" s="11"/>
    </row>
    <row r="63" spans="6:8" x14ac:dyDescent="0.35">
      <c r="F63" s="4"/>
      <c r="G63" s="5"/>
      <c r="H63" s="6"/>
    </row>
    <row r="64" spans="6:8" x14ac:dyDescent="0.35">
      <c r="F64" s="4"/>
      <c r="G64" s="5"/>
      <c r="H64" s="6"/>
    </row>
    <row r="65" spans="6:8" x14ac:dyDescent="0.35">
      <c r="F65" s="4"/>
      <c r="G65" s="5"/>
      <c r="H65" s="6"/>
    </row>
    <row r="66" spans="6:8" x14ac:dyDescent="0.35">
      <c r="F66" s="4"/>
      <c r="G66" s="5"/>
      <c r="H66" s="6"/>
    </row>
    <row r="67" spans="6:8" x14ac:dyDescent="0.35">
      <c r="F67" s="4"/>
      <c r="G67" s="5"/>
      <c r="H6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25CA5-90A4-4DE6-89B1-69BD1F035D6C}">
  <dimension ref="A1:P67"/>
  <sheetViews>
    <sheetView zoomScale="115" zoomScaleNormal="115" workbookViewId="0">
      <selection activeCell="G3" sqref="G3:O8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7.7265625" bestFit="1" customWidth="1"/>
    <col min="7" max="7" width="10.81640625" bestFit="1" customWidth="1"/>
    <col min="8" max="9" width="13.179687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17" max="17" width="24" customWidth="1"/>
  </cols>
  <sheetData>
    <row r="1" spans="1:16" x14ac:dyDescent="0.35">
      <c r="K1" s="68">
        <f>Standaard!K1</f>
        <v>0.3</v>
      </c>
      <c r="L1" s="2"/>
    </row>
    <row r="2" spans="1:1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35">
      <c r="A3" s="61">
        <v>23</v>
      </c>
      <c r="B3" t="s">
        <v>58</v>
      </c>
      <c r="C3" s="40"/>
      <c r="D3" s="40"/>
      <c r="E3" s="67">
        <v>120</v>
      </c>
      <c r="F3" s="67">
        <f>Standaard!F3</f>
        <v>110</v>
      </c>
      <c r="G3" s="74"/>
      <c r="H3" s="74"/>
      <c r="I3" s="74"/>
      <c r="J3" s="74"/>
      <c r="K3" s="74"/>
      <c r="L3" s="74"/>
      <c r="M3" s="74"/>
      <c r="N3" s="77">
        <f>Standaard!N3</f>
        <v>20000</v>
      </c>
      <c r="O3" s="76">
        <f t="shared" ref="O3:O8" si="0">N3/F3</f>
        <v>181.81818181818181</v>
      </c>
      <c r="P3">
        <f>A3*F3</f>
        <v>2530</v>
      </c>
    </row>
    <row r="4" spans="1:16" x14ac:dyDescent="0.35">
      <c r="A4" s="61">
        <v>5</v>
      </c>
      <c r="B4" t="s">
        <v>62</v>
      </c>
      <c r="C4" s="65">
        <f>Standaard!C4</f>
        <v>70</v>
      </c>
      <c r="D4" s="66">
        <v>0.77</v>
      </c>
      <c r="E4" s="67">
        <f t="shared" ref="E4:E8" si="1">C4/D4</f>
        <v>90.909090909090907</v>
      </c>
      <c r="F4" s="67">
        <f>Standaard!F4</f>
        <v>95</v>
      </c>
      <c r="G4" s="77">
        <f>Standaard!G4</f>
        <v>4200</v>
      </c>
      <c r="H4" s="76">
        <f t="shared" ref="H4:H8" si="2">G4*C4</f>
        <v>294000</v>
      </c>
      <c r="I4" s="76">
        <f t="shared" ref="I4:I8" si="3">H4/1.21</f>
        <v>242975.20661157026</v>
      </c>
      <c r="J4" s="77">
        <f>Standaard!J4</f>
        <v>1356</v>
      </c>
      <c r="K4" s="76">
        <f t="shared" ref="K4:K8" si="4">J4*$K$1</f>
        <v>406.8</v>
      </c>
      <c r="L4" s="76">
        <f t="shared" ref="L4:L8" si="5">J4+K4</f>
        <v>1762.8</v>
      </c>
      <c r="M4" s="76">
        <f t="shared" ref="M4:M8" si="6">L4*E4</f>
        <v>160254.54545454544</v>
      </c>
      <c r="N4" s="76">
        <f t="shared" ref="N4:N8" si="7">I4-M4</f>
        <v>82720.661157024821</v>
      </c>
      <c r="O4" s="76">
        <f t="shared" si="0"/>
        <v>870.7438016528929</v>
      </c>
      <c r="P4">
        <f t="shared" ref="P4:P8" si="8">A4*F4</f>
        <v>475</v>
      </c>
    </row>
    <row r="5" spans="1:16" x14ac:dyDescent="0.35">
      <c r="A5" s="61">
        <v>6</v>
      </c>
      <c r="B5" t="s">
        <v>63</v>
      </c>
      <c r="C5" s="65">
        <f>Standaard!C5</f>
        <v>100</v>
      </c>
      <c r="D5" s="66">
        <v>0.77</v>
      </c>
      <c r="E5" s="67">
        <f t="shared" si="1"/>
        <v>129.87012987012986</v>
      </c>
      <c r="F5" s="67">
        <f>Standaard!F5</f>
        <v>125</v>
      </c>
      <c r="G5" s="77">
        <f>Standaard!G5</f>
        <v>4200</v>
      </c>
      <c r="H5" s="76">
        <f t="shared" si="2"/>
        <v>420000</v>
      </c>
      <c r="I5" s="76">
        <f t="shared" si="3"/>
        <v>347107.43801652896</v>
      </c>
      <c r="J5" s="77">
        <f>Standaard!J5</f>
        <v>1429</v>
      </c>
      <c r="K5" s="76">
        <f t="shared" si="4"/>
        <v>428.7</v>
      </c>
      <c r="L5" s="76">
        <f t="shared" si="5"/>
        <v>1857.7</v>
      </c>
      <c r="M5" s="76">
        <f t="shared" si="6"/>
        <v>241259.74025974024</v>
      </c>
      <c r="N5" s="76">
        <f t="shared" si="7"/>
        <v>105847.69775678872</v>
      </c>
      <c r="O5" s="76">
        <f t="shared" si="0"/>
        <v>846.78158205430975</v>
      </c>
      <c r="P5">
        <f t="shared" si="8"/>
        <v>750</v>
      </c>
    </row>
    <row r="6" spans="1:16" x14ac:dyDescent="0.35">
      <c r="A6" s="61">
        <v>11</v>
      </c>
      <c r="B6" t="s">
        <v>59</v>
      </c>
      <c r="C6" s="65">
        <f>Standaard!C6</f>
        <v>65</v>
      </c>
      <c r="D6" s="66">
        <v>0.72</v>
      </c>
      <c r="E6" s="67">
        <f t="shared" si="1"/>
        <v>90.277777777777786</v>
      </c>
      <c r="F6" s="67">
        <f>Standaard!F6</f>
        <v>90</v>
      </c>
      <c r="G6" s="77">
        <f>Standaard!G6</f>
        <v>4050</v>
      </c>
      <c r="H6" s="76">
        <f t="shared" si="2"/>
        <v>263250</v>
      </c>
      <c r="I6" s="76">
        <f t="shared" si="3"/>
        <v>217561.98347107437</v>
      </c>
      <c r="J6" s="77">
        <f>Standaard!J6</f>
        <v>1364</v>
      </c>
      <c r="K6" s="76">
        <f t="shared" si="4"/>
        <v>409.2</v>
      </c>
      <c r="L6" s="76">
        <f t="shared" si="5"/>
        <v>1773.2</v>
      </c>
      <c r="M6" s="76">
        <f t="shared" si="6"/>
        <v>160080.55555555556</v>
      </c>
      <c r="N6" s="76">
        <f t="shared" si="7"/>
        <v>57481.427915518812</v>
      </c>
      <c r="O6" s="76">
        <f t="shared" si="0"/>
        <v>638.68253239465344</v>
      </c>
      <c r="P6">
        <f t="shared" si="8"/>
        <v>990</v>
      </c>
    </row>
    <row r="7" spans="1:16" x14ac:dyDescent="0.35">
      <c r="A7" s="61">
        <v>24</v>
      </c>
      <c r="B7" t="s">
        <v>60</v>
      </c>
      <c r="C7" s="65">
        <f>Standaard!C7</f>
        <v>140</v>
      </c>
      <c r="D7" s="66">
        <v>0.76</v>
      </c>
      <c r="E7" s="67">
        <f t="shared" ref="E7" si="9">C7/D7</f>
        <v>184.21052631578948</v>
      </c>
      <c r="F7" s="67">
        <f>Standaard!F7</f>
        <v>300</v>
      </c>
      <c r="G7" s="77">
        <f>Standaard!G7</f>
        <v>4325</v>
      </c>
      <c r="H7" s="76">
        <f t="shared" si="2"/>
        <v>605500</v>
      </c>
      <c r="I7" s="76">
        <f t="shared" si="3"/>
        <v>500413.22314049589</v>
      </c>
      <c r="J7" s="77">
        <f>Standaard!J7</f>
        <v>1506</v>
      </c>
      <c r="K7" s="76">
        <f t="shared" si="4"/>
        <v>451.8</v>
      </c>
      <c r="L7" s="76">
        <f t="shared" si="5"/>
        <v>1957.8</v>
      </c>
      <c r="M7" s="76">
        <f t="shared" si="6"/>
        <v>360647.36842105264</v>
      </c>
      <c r="N7" s="76">
        <f t="shared" si="7"/>
        <v>139765.85471944325</v>
      </c>
      <c r="O7" s="76">
        <f t="shared" si="0"/>
        <v>465.88618239814417</v>
      </c>
      <c r="P7" s="1">
        <f t="shared" si="8"/>
        <v>7200</v>
      </c>
    </row>
    <row r="8" spans="1:16" x14ac:dyDescent="0.35">
      <c r="A8" s="61">
        <v>8</v>
      </c>
      <c r="B8" t="s">
        <v>61</v>
      </c>
      <c r="C8" s="65">
        <f>Standaard!C8</f>
        <v>150</v>
      </c>
      <c r="D8" s="66">
        <v>0.76</v>
      </c>
      <c r="E8" s="67">
        <f t="shared" si="1"/>
        <v>197.36842105263159</v>
      </c>
      <c r="F8" s="67">
        <f>Standaard!F8</f>
        <v>400</v>
      </c>
      <c r="G8" s="77">
        <f>Standaard!G8</f>
        <v>4700</v>
      </c>
      <c r="H8" s="76">
        <f t="shared" si="2"/>
        <v>705000</v>
      </c>
      <c r="I8" s="76">
        <f t="shared" si="3"/>
        <v>582644.62809917354</v>
      </c>
      <c r="J8" s="77">
        <f>Standaard!J8</f>
        <v>1465</v>
      </c>
      <c r="K8" s="76">
        <f t="shared" si="4"/>
        <v>439.5</v>
      </c>
      <c r="L8" s="76">
        <f t="shared" si="5"/>
        <v>1904.5</v>
      </c>
      <c r="M8" s="76">
        <f t="shared" si="6"/>
        <v>375888.15789473685</v>
      </c>
      <c r="N8" s="76">
        <f t="shared" si="7"/>
        <v>206756.47020443669</v>
      </c>
      <c r="O8" s="76">
        <f t="shared" si="0"/>
        <v>516.89117551109166</v>
      </c>
      <c r="P8" s="1">
        <f t="shared" si="8"/>
        <v>3200</v>
      </c>
    </row>
    <row r="9" spans="1:16" x14ac:dyDescent="0.35">
      <c r="I9" s="1"/>
      <c r="K9" s="1"/>
      <c r="L9" s="1"/>
      <c r="M9" s="1"/>
      <c r="N9" s="1"/>
      <c r="O9" s="1"/>
    </row>
    <row r="10" spans="1:16" x14ac:dyDescent="0.35">
      <c r="B10" t="s">
        <v>35</v>
      </c>
      <c r="F10" s="1">
        <f>SUMPRODUCT(A3:A8,F3:F8)</f>
        <v>15145</v>
      </c>
      <c r="I10" s="1"/>
      <c r="K10" s="1"/>
      <c r="N10" s="1">
        <f>SUMPRODUCT(A3:A8,N3:N8)</f>
        <v>7149417.4742986951</v>
      </c>
      <c r="P10" s="1">
        <f>SUM(P3:P9)</f>
        <v>15145</v>
      </c>
    </row>
    <row r="11" spans="1:16" x14ac:dyDescent="0.35">
      <c r="A11" s="48" t="s">
        <v>45</v>
      </c>
      <c r="B11" s="48"/>
      <c r="C11" s="48"/>
      <c r="D11" s="48"/>
      <c r="H11" s="31"/>
      <c r="I11" s="31"/>
      <c r="J11" s="31"/>
      <c r="K11" s="31"/>
    </row>
    <row r="12" spans="1:16" x14ac:dyDescent="0.35">
      <c r="A12" s="48"/>
      <c r="B12" s="48" t="s">
        <v>0</v>
      </c>
      <c r="C12" s="48"/>
      <c r="D12" s="48" t="s">
        <v>44</v>
      </c>
    </row>
    <row r="13" spans="1:16" x14ac:dyDescent="0.35">
      <c r="A13" s="48" t="s">
        <v>40</v>
      </c>
      <c r="B13" s="49">
        <f>SUM(A3:A3)</f>
        <v>23</v>
      </c>
      <c r="C13" s="49"/>
      <c r="D13" s="50">
        <f>SUM(B13/$B$18)</f>
        <v>0.29870129870129869</v>
      </c>
      <c r="I13" s="2"/>
    </row>
    <row r="14" spans="1:16" x14ac:dyDescent="0.35">
      <c r="A14" s="48" t="s">
        <v>41</v>
      </c>
      <c r="B14" s="49">
        <f>SUM(A4,A6)</f>
        <v>16</v>
      </c>
      <c r="C14" s="49"/>
      <c r="D14" s="50">
        <f t="shared" ref="D14:D16" si="10">SUM(B14/$B$18)</f>
        <v>0.20779220779220781</v>
      </c>
    </row>
    <row r="15" spans="1:16" x14ac:dyDescent="0.35">
      <c r="A15" s="48" t="s">
        <v>42</v>
      </c>
      <c r="B15" s="49">
        <f>SUM(A5)</f>
        <v>6</v>
      </c>
      <c r="C15" s="49"/>
      <c r="D15" s="50">
        <f t="shared" si="10"/>
        <v>7.792207792207792E-2</v>
      </c>
      <c r="J15" s="31"/>
    </row>
    <row r="16" spans="1:16" x14ac:dyDescent="0.35">
      <c r="A16" s="48" t="s">
        <v>43</v>
      </c>
      <c r="B16" s="49">
        <f>SUM(A7:A8)</f>
        <v>32</v>
      </c>
      <c r="C16" s="49"/>
      <c r="D16" s="50">
        <f t="shared" si="10"/>
        <v>0.41558441558441561</v>
      </c>
      <c r="J16" s="31"/>
    </row>
    <row r="17" spans="1:16" x14ac:dyDescent="0.35">
      <c r="A17" s="48"/>
      <c r="B17" s="49"/>
      <c r="C17" s="49"/>
      <c r="D17" s="49"/>
    </row>
    <row r="18" spans="1:16" x14ac:dyDescent="0.35">
      <c r="A18" s="48" t="s">
        <v>46</v>
      </c>
      <c r="B18" s="49">
        <f>SUM(B13:B16)</f>
        <v>77</v>
      </c>
      <c r="C18" s="49"/>
      <c r="D18" s="51">
        <f>SUM(D13:D16)</f>
        <v>1</v>
      </c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3" spans="1:16" x14ac:dyDescent="0.35">
      <c r="E23" s="1"/>
      <c r="F23" s="1"/>
      <c r="N23" s="1"/>
      <c r="O23" s="1"/>
      <c r="P23" s="1"/>
    </row>
    <row r="42" spans="11:11" x14ac:dyDescent="0.35">
      <c r="K42" s="1"/>
    </row>
    <row r="43" spans="11:11" x14ac:dyDescent="0.35">
      <c r="K43" s="1"/>
    </row>
    <row r="44" spans="11:11" x14ac:dyDescent="0.35">
      <c r="K44" s="1"/>
    </row>
    <row r="45" spans="11:11" x14ac:dyDescent="0.35">
      <c r="K45" s="1"/>
    </row>
    <row r="55" spans="6:8" x14ac:dyDescent="0.35">
      <c r="F55" s="4"/>
      <c r="G55" s="5"/>
      <c r="H55" s="6"/>
    </row>
    <row r="56" spans="6:8" x14ac:dyDescent="0.35">
      <c r="F56" s="4"/>
      <c r="G56" s="5"/>
      <c r="H56" s="6"/>
    </row>
    <row r="57" spans="6:8" x14ac:dyDescent="0.35">
      <c r="F57" s="4"/>
      <c r="G57" s="5"/>
      <c r="H57" s="6"/>
    </row>
    <row r="58" spans="6:8" x14ac:dyDescent="0.35">
      <c r="F58" s="4"/>
      <c r="G58" s="5"/>
      <c r="H58" s="6"/>
    </row>
    <row r="59" spans="6:8" x14ac:dyDescent="0.35">
      <c r="F59" s="7"/>
      <c r="G59" s="7"/>
      <c r="H59" s="8"/>
    </row>
    <row r="60" spans="6:8" x14ac:dyDescent="0.35">
      <c r="F60" s="9"/>
      <c r="G60" s="10"/>
      <c r="H60" s="11"/>
    </row>
    <row r="61" spans="6:8" x14ac:dyDescent="0.35">
      <c r="F61" s="9"/>
      <c r="G61" s="10"/>
      <c r="H61" s="11"/>
    </row>
    <row r="62" spans="6:8" x14ac:dyDescent="0.35">
      <c r="F62" s="12"/>
      <c r="G62" s="13"/>
      <c r="H62" s="11"/>
    </row>
    <row r="63" spans="6:8" x14ac:dyDescent="0.35">
      <c r="F63" s="4"/>
      <c r="G63" s="5"/>
      <c r="H63" s="6"/>
    </row>
    <row r="64" spans="6:8" x14ac:dyDescent="0.35">
      <c r="F64" s="4"/>
      <c r="G64" s="5"/>
      <c r="H64" s="6"/>
    </row>
    <row r="65" spans="6:8" x14ac:dyDescent="0.35">
      <c r="F65" s="4"/>
      <c r="G65" s="5"/>
      <c r="H65" s="6"/>
    </row>
    <row r="66" spans="6:8" x14ac:dyDescent="0.35">
      <c r="F66" s="4"/>
      <c r="G66" s="5"/>
      <c r="H66" s="6"/>
    </row>
    <row r="67" spans="6:8" x14ac:dyDescent="0.35">
      <c r="F67" s="4"/>
      <c r="G67" s="5"/>
      <c r="H67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C1847-68F5-4421-A3DF-AB3105F694E4}">
  <dimension ref="A1:P67"/>
  <sheetViews>
    <sheetView zoomScale="115" zoomScaleNormal="115" workbookViewId="0">
      <selection activeCell="G3" sqref="G3:O8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7.7265625" bestFit="1" customWidth="1"/>
    <col min="7" max="7" width="10.81640625" bestFit="1" customWidth="1"/>
    <col min="8" max="9" width="13.179687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17" max="17" width="24" customWidth="1"/>
  </cols>
  <sheetData>
    <row r="1" spans="1:16" x14ac:dyDescent="0.35">
      <c r="K1" s="68">
        <f>Standaard!K1</f>
        <v>0.3</v>
      </c>
      <c r="L1" s="2"/>
    </row>
    <row r="2" spans="1:1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35">
      <c r="A3" s="61">
        <v>23</v>
      </c>
      <c r="B3" t="s">
        <v>58</v>
      </c>
      <c r="C3" s="40"/>
      <c r="D3" s="40"/>
      <c r="E3" s="67">
        <v>120</v>
      </c>
      <c r="F3" s="67">
        <v>125</v>
      </c>
      <c r="G3" s="74"/>
      <c r="H3" s="74"/>
      <c r="I3" s="74"/>
      <c r="J3" s="74"/>
      <c r="K3" s="74"/>
      <c r="L3" s="74"/>
      <c r="M3" s="74"/>
      <c r="N3" s="77">
        <f>Standaard!N3</f>
        <v>20000</v>
      </c>
      <c r="O3" s="76">
        <f t="shared" ref="O3:O8" si="0">N3/F3</f>
        <v>160</v>
      </c>
      <c r="P3">
        <f>A3*F3</f>
        <v>2875</v>
      </c>
    </row>
    <row r="4" spans="1:16" x14ac:dyDescent="0.35">
      <c r="A4" s="61">
        <v>10</v>
      </c>
      <c r="B4" t="s">
        <v>62</v>
      </c>
      <c r="C4" s="65">
        <f>Standaard!C4</f>
        <v>70</v>
      </c>
      <c r="D4" s="66">
        <v>0.77</v>
      </c>
      <c r="E4" s="67">
        <f t="shared" ref="E4:E8" si="1">C4/D4</f>
        <v>90.909090909090907</v>
      </c>
      <c r="F4" s="67">
        <f>Standaard!F4-10</f>
        <v>85</v>
      </c>
      <c r="G4" s="77">
        <f>Standaard!G4</f>
        <v>4200</v>
      </c>
      <c r="H4" s="76">
        <f t="shared" ref="H4:H8" si="2">G4*C4</f>
        <v>294000</v>
      </c>
      <c r="I4" s="76">
        <f t="shared" ref="I4:I8" si="3">H4/1.21</f>
        <v>242975.20661157026</v>
      </c>
      <c r="J4" s="77">
        <f>Standaard!J4</f>
        <v>1356</v>
      </c>
      <c r="K4" s="76">
        <f t="shared" ref="K4:K8" si="4">J4*$K$1</f>
        <v>406.8</v>
      </c>
      <c r="L4" s="76">
        <f t="shared" ref="L4:L8" si="5">J4+K4</f>
        <v>1762.8</v>
      </c>
      <c r="M4" s="76">
        <f t="shared" ref="M4:M8" si="6">L4*E4</f>
        <v>160254.54545454544</v>
      </c>
      <c r="N4" s="76">
        <f t="shared" ref="N4:N8" si="7">I4-M4</f>
        <v>82720.661157024821</v>
      </c>
      <c r="O4" s="76">
        <f t="shared" si="0"/>
        <v>973.18424890617439</v>
      </c>
      <c r="P4">
        <f t="shared" ref="P4:P8" si="8">A4*F4</f>
        <v>850</v>
      </c>
    </row>
    <row r="5" spans="1:16" x14ac:dyDescent="0.35">
      <c r="A5" s="61">
        <v>10</v>
      </c>
      <c r="B5" t="s">
        <v>63</v>
      </c>
      <c r="C5" s="65">
        <f>Standaard!C5</f>
        <v>100</v>
      </c>
      <c r="D5" s="66">
        <v>0.77</v>
      </c>
      <c r="E5" s="67">
        <f t="shared" si="1"/>
        <v>129.87012987012986</v>
      </c>
      <c r="F5" s="67">
        <f>Standaard!F5-10</f>
        <v>115</v>
      </c>
      <c r="G5" s="77">
        <f>Standaard!G5</f>
        <v>4200</v>
      </c>
      <c r="H5" s="76">
        <f t="shared" si="2"/>
        <v>420000</v>
      </c>
      <c r="I5" s="76">
        <f t="shared" si="3"/>
        <v>347107.43801652896</v>
      </c>
      <c r="J5" s="77">
        <f>Standaard!J5</f>
        <v>1429</v>
      </c>
      <c r="K5" s="76">
        <f t="shared" si="4"/>
        <v>428.7</v>
      </c>
      <c r="L5" s="76">
        <f t="shared" si="5"/>
        <v>1857.7</v>
      </c>
      <c r="M5" s="76">
        <f t="shared" si="6"/>
        <v>241259.74025974024</v>
      </c>
      <c r="N5" s="76">
        <f t="shared" si="7"/>
        <v>105847.69775678872</v>
      </c>
      <c r="O5" s="76">
        <f t="shared" si="0"/>
        <v>920.41476310251062</v>
      </c>
      <c r="P5">
        <f t="shared" si="8"/>
        <v>1150</v>
      </c>
    </row>
    <row r="6" spans="1:16" x14ac:dyDescent="0.35">
      <c r="A6" s="61">
        <v>11</v>
      </c>
      <c r="B6" t="s">
        <v>59</v>
      </c>
      <c r="C6" s="65">
        <f>Standaard!C6</f>
        <v>65</v>
      </c>
      <c r="D6" s="66">
        <v>0.72</v>
      </c>
      <c r="E6" s="67">
        <f t="shared" si="1"/>
        <v>90.277777777777786</v>
      </c>
      <c r="F6" s="67">
        <f>Standaard!F6</f>
        <v>90</v>
      </c>
      <c r="G6" s="77">
        <f>Standaard!G6</f>
        <v>4050</v>
      </c>
      <c r="H6" s="76">
        <f t="shared" si="2"/>
        <v>263250</v>
      </c>
      <c r="I6" s="76">
        <f t="shared" si="3"/>
        <v>217561.98347107437</v>
      </c>
      <c r="J6" s="77">
        <f>Standaard!J6</f>
        <v>1364</v>
      </c>
      <c r="K6" s="76">
        <f t="shared" si="4"/>
        <v>409.2</v>
      </c>
      <c r="L6" s="76">
        <f t="shared" si="5"/>
        <v>1773.2</v>
      </c>
      <c r="M6" s="76">
        <f t="shared" si="6"/>
        <v>160080.55555555556</v>
      </c>
      <c r="N6" s="76">
        <f t="shared" si="7"/>
        <v>57481.427915518812</v>
      </c>
      <c r="O6" s="76">
        <f t="shared" si="0"/>
        <v>638.68253239465344</v>
      </c>
      <c r="P6">
        <f t="shared" si="8"/>
        <v>990</v>
      </c>
    </row>
    <row r="7" spans="1:16" x14ac:dyDescent="0.35">
      <c r="A7" s="61">
        <v>20</v>
      </c>
      <c r="B7" t="s">
        <v>60</v>
      </c>
      <c r="C7" s="65">
        <f>Standaard!C7</f>
        <v>140</v>
      </c>
      <c r="D7" s="66">
        <v>0.76</v>
      </c>
      <c r="E7" s="67">
        <f t="shared" si="1"/>
        <v>184.21052631578948</v>
      </c>
      <c r="F7" s="67">
        <f>Standaard!F7-10</f>
        <v>290</v>
      </c>
      <c r="G7" s="77">
        <f>Standaard!G7-(Standaard!F7-'Verdichten en herpr. 67% Betaal'!F7)*Standaard!O7*1.21/'Verdichten en herpr. 67% Betaal'!C7</f>
        <v>4284.7341228070172</v>
      </c>
      <c r="H7" s="76">
        <f t="shared" si="2"/>
        <v>599862.77719298238</v>
      </c>
      <c r="I7" s="76">
        <f t="shared" si="3"/>
        <v>495754.36131651438</v>
      </c>
      <c r="J7" s="77">
        <f>Standaard!J7</f>
        <v>1506</v>
      </c>
      <c r="K7" s="76">
        <f t="shared" si="4"/>
        <v>451.8</v>
      </c>
      <c r="L7" s="76">
        <f t="shared" si="5"/>
        <v>1957.8</v>
      </c>
      <c r="M7" s="76">
        <f t="shared" si="6"/>
        <v>360647.36842105264</v>
      </c>
      <c r="N7" s="76">
        <f t="shared" si="7"/>
        <v>135106.99289546174</v>
      </c>
      <c r="O7" s="76">
        <f t="shared" si="0"/>
        <v>465.88618239814389</v>
      </c>
      <c r="P7" s="1">
        <f t="shared" si="8"/>
        <v>5800</v>
      </c>
    </row>
    <row r="8" spans="1:16" x14ac:dyDescent="0.35">
      <c r="A8" s="61">
        <v>7</v>
      </c>
      <c r="B8" t="s">
        <v>61</v>
      </c>
      <c r="C8" s="65">
        <f>Standaard!C8</f>
        <v>150</v>
      </c>
      <c r="D8" s="66">
        <v>0.76</v>
      </c>
      <c r="E8" s="67">
        <f t="shared" si="1"/>
        <v>197.36842105263159</v>
      </c>
      <c r="F8" s="67">
        <f>Standaard!F8-5</f>
        <v>395</v>
      </c>
      <c r="G8" s="77">
        <f>Standaard!G8-(Standaard!F8-'Verdichten en herpr. 67% Betaal'!F8)*Standaard!O8*1.21/'Verdichten en herpr. 67% Betaal'!C8</f>
        <v>4679.152055921053</v>
      </c>
      <c r="H8" s="76">
        <f t="shared" si="2"/>
        <v>701872.80838815798</v>
      </c>
      <c r="I8" s="76">
        <f t="shared" si="3"/>
        <v>580060.17222161824</v>
      </c>
      <c r="J8" s="77">
        <f>Standaard!J8</f>
        <v>1465</v>
      </c>
      <c r="K8" s="76">
        <f t="shared" si="4"/>
        <v>439.5</v>
      </c>
      <c r="L8" s="76">
        <f t="shared" si="5"/>
        <v>1904.5</v>
      </c>
      <c r="M8" s="76">
        <f t="shared" si="6"/>
        <v>375888.15789473685</v>
      </c>
      <c r="N8" s="76">
        <f t="shared" si="7"/>
        <v>204172.01432688138</v>
      </c>
      <c r="O8" s="76">
        <f t="shared" si="0"/>
        <v>516.89117551109211</v>
      </c>
      <c r="P8" s="1">
        <f t="shared" si="8"/>
        <v>2765</v>
      </c>
    </row>
    <row r="9" spans="1:16" x14ac:dyDescent="0.35">
      <c r="I9" s="1"/>
      <c r="K9" s="1"/>
      <c r="L9" s="1"/>
      <c r="M9" s="1"/>
      <c r="N9" s="1"/>
      <c r="O9" s="1"/>
    </row>
    <row r="10" spans="1:16" x14ac:dyDescent="0.35">
      <c r="B10" t="s">
        <v>53</v>
      </c>
      <c r="E10" s="1"/>
      <c r="F10" s="1">
        <f>SUMPRODUCT(A3:A8,F3:F8)</f>
        <v>14430</v>
      </c>
      <c r="I10" s="1"/>
      <c r="K10" s="1"/>
      <c r="N10" s="1">
        <f>SUMPRODUCT(A3:A8,N3:N8)</f>
        <v>7109323.2544062464</v>
      </c>
      <c r="P10" s="1">
        <f>SUM(P3:P9)</f>
        <v>14430</v>
      </c>
    </row>
    <row r="11" spans="1:16" x14ac:dyDescent="0.35">
      <c r="A11" s="48" t="s">
        <v>45</v>
      </c>
      <c r="B11" s="48"/>
      <c r="C11" s="48"/>
      <c r="D11" s="48"/>
      <c r="H11" s="31"/>
      <c r="I11" s="31"/>
      <c r="K11" s="31"/>
      <c r="P11" s="1"/>
    </row>
    <row r="12" spans="1:16" x14ac:dyDescent="0.35">
      <c r="A12" s="48"/>
      <c r="B12" s="48" t="s">
        <v>0</v>
      </c>
      <c r="C12" s="48"/>
      <c r="D12" s="48" t="s">
        <v>44</v>
      </c>
    </row>
    <row r="13" spans="1:16" x14ac:dyDescent="0.35">
      <c r="A13" s="48" t="s">
        <v>40</v>
      </c>
      <c r="B13" s="49">
        <f>SUM(A3:A3)</f>
        <v>23</v>
      </c>
      <c r="C13" s="49"/>
      <c r="D13" s="50">
        <f>SUM(B13/$B$18)</f>
        <v>0.2839506172839506</v>
      </c>
      <c r="I13" s="2"/>
    </row>
    <row r="14" spans="1:16" x14ac:dyDescent="0.35">
      <c r="A14" s="48" t="s">
        <v>41</v>
      </c>
      <c r="B14" s="49">
        <f>SUM(A4,A6)</f>
        <v>21</v>
      </c>
      <c r="C14" s="49"/>
      <c r="D14" s="50">
        <f t="shared" ref="D14:D16" si="9">SUM(B14/$B$18)</f>
        <v>0.25925925925925924</v>
      </c>
    </row>
    <row r="15" spans="1:16" x14ac:dyDescent="0.35">
      <c r="A15" s="48" t="s">
        <v>42</v>
      </c>
      <c r="B15" s="49">
        <f>SUM(A5)</f>
        <v>10</v>
      </c>
      <c r="C15" s="49"/>
      <c r="D15" s="50">
        <f t="shared" si="9"/>
        <v>0.12345679012345678</v>
      </c>
      <c r="E15" s="2">
        <f>SUM(D13:D15)</f>
        <v>0.66666666666666663</v>
      </c>
    </row>
    <row r="16" spans="1:16" x14ac:dyDescent="0.35">
      <c r="A16" s="48" t="s">
        <v>43</v>
      </c>
      <c r="B16" s="49">
        <f>SUM(A7:A8)</f>
        <v>27</v>
      </c>
      <c r="C16" s="49"/>
      <c r="D16" s="50">
        <f t="shared" si="9"/>
        <v>0.33333333333333331</v>
      </c>
    </row>
    <row r="17" spans="1:16" x14ac:dyDescent="0.35">
      <c r="A17" s="48"/>
      <c r="B17" s="49"/>
      <c r="C17" s="49"/>
      <c r="D17" s="49"/>
    </row>
    <row r="18" spans="1:16" x14ac:dyDescent="0.35">
      <c r="A18" s="48" t="s">
        <v>46</v>
      </c>
      <c r="B18" s="49">
        <f>SUM(B13:B16)</f>
        <v>81</v>
      </c>
      <c r="C18" s="49"/>
      <c r="D18" s="51">
        <f>SUM(D13:D16)</f>
        <v>1</v>
      </c>
      <c r="J18" s="2"/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3" spans="1:16" x14ac:dyDescent="0.35">
      <c r="E23" s="1"/>
      <c r="F23" s="1"/>
      <c r="N23" s="1"/>
      <c r="O23" s="1"/>
      <c r="P23" s="1"/>
    </row>
    <row r="42" spans="11:11" x14ac:dyDescent="0.35">
      <c r="K42" s="1"/>
    </row>
    <row r="43" spans="11:11" x14ac:dyDescent="0.35">
      <c r="K43" s="1"/>
    </row>
    <row r="44" spans="11:11" x14ac:dyDescent="0.35">
      <c r="K44" s="1"/>
    </row>
    <row r="45" spans="11:11" x14ac:dyDescent="0.35">
      <c r="K45" s="1"/>
    </row>
    <row r="55" spans="6:8" x14ac:dyDescent="0.35">
      <c r="F55" s="4"/>
      <c r="G55" s="5"/>
      <c r="H55" s="6"/>
    </row>
    <row r="56" spans="6:8" x14ac:dyDescent="0.35">
      <c r="F56" s="4"/>
      <c r="G56" s="5"/>
      <c r="H56" s="6"/>
    </row>
    <row r="57" spans="6:8" x14ac:dyDescent="0.35">
      <c r="F57" s="4"/>
      <c r="G57" s="5"/>
      <c r="H57" s="6"/>
    </row>
    <row r="58" spans="6:8" x14ac:dyDescent="0.35">
      <c r="F58" s="4"/>
      <c r="G58" s="5"/>
      <c r="H58" s="6"/>
    </row>
    <row r="59" spans="6:8" x14ac:dyDescent="0.35">
      <c r="F59" s="7"/>
      <c r="G59" s="7"/>
      <c r="H59" s="8"/>
    </row>
    <row r="60" spans="6:8" x14ac:dyDescent="0.35">
      <c r="F60" s="9"/>
      <c r="G60" s="10"/>
      <c r="H60" s="11"/>
    </row>
    <row r="61" spans="6:8" x14ac:dyDescent="0.35">
      <c r="F61" s="9"/>
      <c r="G61" s="10"/>
      <c r="H61" s="11"/>
    </row>
    <row r="62" spans="6:8" x14ac:dyDescent="0.35">
      <c r="F62" s="12"/>
      <c r="G62" s="13"/>
      <c r="H62" s="11"/>
    </row>
    <row r="63" spans="6:8" x14ac:dyDescent="0.35">
      <c r="F63" s="4"/>
      <c r="G63" s="5"/>
      <c r="H63" s="6"/>
    </row>
    <row r="64" spans="6:8" x14ac:dyDescent="0.35">
      <c r="F64" s="4"/>
      <c r="G64" s="5"/>
      <c r="H64" s="6"/>
    </row>
    <row r="65" spans="6:8" x14ac:dyDescent="0.35">
      <c r="F65" s="4"/>
      <c r="G65" s="5"/>
      <c r="H65" s="6"/>
    </row>
    <row r="66" spans="6:8" x14ac:dyDescent="0.35">
      <c r="F66" s="4"/>
      <c r="G66" s="5"/>
      <c r="H66" s="6"/>
    </row>
    <row r="67" spans="6:8" x14ac:dyDescent="0.35">
      <c r="F67" s="4"/>
      <c r="G67" s="5"/>
      <c r="H67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D983F-F4BA-4FC6-B384-A4F2B56F1231}">
  <dimension ref="A1:P67"/>
  <sheetViews>
    <sheetView zoomScale="115" zoomScaleNormal="115" workbookViewId="0">
      <selection activeCell="G3" sqref="G3:O8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7.7265625" bestFit="1" customWidth="1"/>
    <col min="7" max="7" width="10.81640625" bestFit="1" customWidth="1"/>
    <col min="8" max="9" width="13.179687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17" max="17" width="24" customWidth="1"/>
  </cols>
  <sheetData>
    <row r="1" spans="1:16" x14ac:dyDescent="0.35">
      <c r="J1" s="63">
        <f>1/3</f>
        <v>0.33333333333333331</v>
      </c>
      <c r="K1" s="68">
        <f>Standaard!K1</f>
        <v>0.3</v>
      </c>
      <c r="L1" s="2"/>
    </row>
    <row r="2" spans="1:1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35">
      <c r="A3" s="65">
        <f>Standaard!A3</f>
        <v>15</v>
      </c>
      <c r="B3" t="s">
        <v>58</v>
      </c>
      <c r="C3" s="40"/>
      <c r="D3" s="40"/>
      <c r="E3" s="65">
        <f>Standaard!E3</f>
        <v>120</v>
      </c>
      <c r="F3" s="67">
        <f>Standaard!F3</f>
        <v>110</v>
      </c>
      <c r="G3" s="74"/>
      <c r="H3" s="74"/>
      <c r="I3" s="74"/>
      <c r="J3" s="74"/>
      <c r="K3" s="74"/>
      <c r="L3" s="74"/>
      <c r="M3" s="74"/>
      <c r="N3" s="77">
        <f>Standaard!N3</f>
        <v>20000</v>
      </c>
      <c r="O3" s="76">
        <f t="shared" ref="O3:O8" si="0">N3/F3</f>
        <v>181.81818181818181</v>
      </c>
      <c r="P3">
        <f>A3*F3</f>
        <v>1650</v>
      </c>
    </row>
    <row r="4" spans="1:16" x14ac:dyDescent="0.35">
      <c r="A4" s="65">
        <f>Standaard!A4</f>
        <v>5</v>
      </c>
      <c r="B4" t="s">
        <v>62</v>
      </c>
      <c r="C4" s="65">
        <f>Standaard!C4</f>
        <v>70</v>
      </c>
      <c r="D4" s="66">
        <v>0.77</v>
      </c>
      <c r="E4" s="67">
        <f t="shared" ref="E4:E8" si="1">C4/D4</f>
        <v>90.909090909090907</v>
      </c>
      <c r="F4" s="67">
        <f>Standaard!F4</f>
        <v>95</v>
      </c>
      <c r="G4" s="77">
        <f>Standaard!G4-$J$1*(Standaard!J4-J4)</f>
        <v>4154.8</v>
      </c>
      <c r="H4" s="76">
        <f t="shared" ref="H4:H8" si="2">G4*C4</f>
        <v>290836</v>
      </c>
      <c r="I4" s="76">
        <f t="shared" ref="I4:I8" si="3">H4/1.21</f>
        <v>240360.3305785124</v>
      </c>
      <c r="J4" s="77">
        <f>Standaard!J4*(1-$J$10)</f>
        <v>1220.4000000000001</v>
      </c>
      <c r="K4" s="76">
        <f t="shared" ref="K4:K8" si="4">J4*$K$1</f>
        <v>366.12</v>
      </c>
      <c r="L4" s="76">
        <f t="shared" ref="L4:L8" si="5">J4+K4</f>
        <v>1586.52</v>
      </c>
      <c r="M4" s="76">
        <f t="shared" ref="M4:M8" si="6">L4*E4</f>
        <v>144229.09090909091</v>
      </c>
      <c r="N4" s="76">
        <f t="shared" ref="N4:N8" si="7">I4-M4</f>
        <v>96131.239669421484</v>
      </c>
      <c r="O4" s="76">
        <f t="shared" si="0"/>
        <v>1011.9077859939104</v>
      </c>
      <c r="P4">
        <f t="shared" ref="P4:P8" si="8">A4*F4</f>
        <v>475</v>
      </c>
    </row>
    <row r="5" spans="1:16" x14ac:dyDescent="0.35">
      <c r="A5" s="65">
        <f>Standaard!A5</f>
        <v>6</v>
      </c>
      <c r="B5" t="s">
        <v>63</v>
      </c>
      <c r="C5" s="65">
        <f>Standaard!C5</f>
        <v>100</v>
      </c>
      <c r="D5" s="66">
        <v>0.77</v>
      </c>
      <c r="E5" s="67">
        <f t="shared" si="1"/>
        <v>129.87012987012986</v>
      </c>
      <c r="F5" s="67">
        <f>Standaard!F5</f>
        <v>125</v>
      </c>
      <c r="G5" s="77">
        <f>Standaard!G5-$J$1*(Standaard!J5-J5)</f>
        <v>4152.3666666666668</v>
      </c>
      <c r="H5" s="76">
        <f t="shared" si="2"/>
        <v>415236.66666666669</v>
      </c>
      <c r="I5" s="76">
        <f t="shared" si="3"/>
        <v>343170.79889807163</v>
      </c>
      <c r="J5" s="77">
        <f>Standaard!J5*(1-$J$10)</f>
        <v>1286.1000000000001</v>
      </c>
      <c r="K5" s="76">
        <f t="shared" si="4"/>
        <v>385.83000000000004</v>
      </c>
      <c r="L5" s="76">
        <f t="shared" si="5"/>
        <v>1671.9300000000003</v>
      </c>
      <c r="M5" s="76">
        <f t="shared" si="6"/>
        <v>217133.76623376625</v>
      </c>
      <c r="N5" s="76">
        <f t="shared" si="7"/>
        <v>126037.03266430538</v>
      </c>
      <c r="O5" s="76">
        <f t="shared" si="0"/>
        <v>1008.2962613144431</v>
      </c>
      <c r="P5">
        <f t="shared" si="8"/>
        <v>750</v>
      </c>
    </row>
    <row r="6" spans="1:16" x14ac:dyDescent="0.35">
      <c r="A6" s="65">
        <f>Standaard!A6</f>
        <v>11</v>
      </c>
      <c r="B6" t="s">
        <v>59</v>
      </c>
      <c r="C6" s="65">
        <f>Standaard!C6</f>
        <v>65</v>
      </c>
      <c r="D6" s="66">
        <v>0.72</v>
      </c>
      <c r="E6" s="67">
        <f t="shared" si="1"/>
        <v>90.277777777777786</v>
      </c>
      <c r="F6" s="67">
        <f>Standaard!F6</f>
        <v>90</v>
      </c>
      <c r="G6" s="77">
        <f>Standaard!G6-$J$1*(Standaard!J6-J6)</f>
        <v>4004.5333333333333</v>
      </c>
      <c r="H6" s="76">
        <f t="shared" si="2"/>
        <v>260294.66666666666</v>
      </c>
      <c r="I6" s="76">
        <f t="shared" si="3"/>
        <v>215119.55922865015</v>
      </c>
      <c r="J6" s="77">
        <f>Standaard!J6*(1-$J$10)</f>
        <v>1227.6000000000001</v>
      </c>
      <c r="K6" s="76">
        <f t="shared" si="4"/>
        <v>368.28000000000003</v>
      </c>
      <c r="L6" s="76">
        <f t="shared" si="5"/>
        <v>1595.88</v>
      </c>
      <c r="M6" s="76">
        <f t="shared" si="6"/>
        <v>144072.50000000003</v>
      </c>
      <c r="N6" s="76">
        <f t="shared" si="7"/>
        <v>71047.05922865012</v>
      </c>
      <c r="O6" s="76">
        <f t="shared" si="0"/>
        <v>789.41176920722353</v>
      </c>
      <c r="P6">
        <f t="shared" si="8"/>
        <v>990</v>
      </c>
    </row>
    <row r="7" spans="1:16" x14ac:dyDescent="0.35">
      <c r="A7" s="65">
        <f>Standaard!A7</f>
        <v>24</v>
      </c>
      <c r="B7" t="s">
        <v>60</v>
      </c>
      <c r="C7" s="65">
        <f>Standaard!C7</f>
        <v>140</v>
      </c>
      <c r="D7" s="66">
        <v>0.76</v>
      </c>
      <c r="E7" s="67">
        <f t="shared" ref="E7" si="9">C7/D7</f>
        <v>184.21052631578948</v>
      </c>
      <c r="F7" s="67">
        <f>Standaard!F7</f>
        <v>300</v>
      </c>
      <c r="G7" s="77">
        <f>Standaard!G7</f>
        <v>4325</v>
      </c>
      <c r="H7" s="76">
        <f t="shared" si="2"/>
        <v>605500</v>
      </c>
      <c r="I7" s="76">
        <f t="shared" si="3"/>
        <v>500413.22314049589</v>
      </c>
      <c r="J7" s="77">
        <f>Standaard!J7</f>
        <v>1506</v>
      </c>
      <c r="K7" s="76">
        <f t="shared" si="4"/>
        <v>451.8</v>
      </c>
      <c r="L7" s="76">
        <f t="shared" si="5"/>
        <v>1957.8</v>
      </c>
      <c r="M7" s="76">
        <f t="shared" si="6"/>
        <v>360647.36842105264</v>
      </c>
      <c r="N7" s="76">
        <f t="shared" si="7"/>
        <v>139765.85471944325</v>
      </c>
      <c r="O7" s="76">
        <f t="shared" si="0"/>
        <v>465.88618239814417</v>
      </c>
      <c r="P7" s="1">
        <f t="shared" si="8"/>
        <v>7200</v>
      </c>
    </row>
    <row r="8" spans="1:16" x14ac:dyDescent="0.35">
      <c r="A8" s="65">
        <f>Standaard!A8</f>
        <v>8</v>
      </c>
      <c r="B8" t="s">
        <v>61</v>
      </c>
      <c r="C8" s="65">
        <f>Standaard!C8</f>
        <v>150</v>
      </c>
      <c r="D8" s="66">
        <v>0.76</v>
      </c>
      <c r="E8" s="67">
        <f t="shared" si="1"/>
        <v>197.36842105263159</v>
      </c>
      <c r="F8" s="67">
        <f>Standaard!F8</f>
        <v>400</v>
      </c>
      <c r="G8" s="77">
        <f>Standaard!G8</f>
        <v>4700</v>
      </c>
      <c r="H8" s="76">
        <f t="shared" si="2"/>
        <v>705000</v>
      </c>
      <c r="I8" s="76">
        <f t="shared" si="3"/>
        <v>582644.62809917354</v>
      </c>
      <c r="J8" s="77">
        <f>Standaard!J8</f>
        <v>1465</v>
      </c>
      <c r="K8" s="76">
        <f t="shared" si="4"/>
        <v>439.5</v>
      </c>
      <c r="L8" s="76">
        <f t="shared" si="5"/>
        <v>1904.5</v>
      </c>
      <c r="M8" s="76">
        <f t="shared" si="6"/>
        <v>375888.15789473685</v>
      </c>
      <c r="N8" s="76">
        <f t="shared" si="7"/>
        <v>206756.47020443669</v>
      </c>
      <c r="O8" s="76">
        <f t="shared" si="0"/>
        <v>516.89117551109166</v>
      </c>
      <c r="P8" s="1">
        <f t="shared" si="8"/>
        <v>3200</v>
      </c>
    </row>
    <row r="9" spans="1:16" x14ac:dyDescent="0.35">
      <c r="I9" s="1"/>
      <c r="K9" s="1"/>
      <c r="L9" s="1"/>
      <c r="M9" s="1"/>
      <c r="N9" s="1"/>
      <c r="O9" s="1"/>
    </row>
    <row r="10" spans="1:16" x14ac:dyDescent="0.35">
      <c r="A10">
        <f>SUM(A3:A9)</f>
        <v>69</v>
      </c>
      <c r="F10" s="1">
        <f>SUMPRODUCT(A3:A8,F3:F8)</f>
        <v>14265</v>
      </c>
      <c r="I10" s="1"/>
      <c r="J10" s="31">
        <v>0.1</v>
      </c>
      <c r="K10" s="31"/>
      <c r="N10" s="1">
        <f>SUMPRODUCT(A3:A8,N3:N8)</f>
        <v>7326828.3207502225</v>
      </c>
      <c r="P10" s="1">
        <f>SUM(P3:P9)</f>
        <v>14265</v>
      </c>
    </row>
    <row r="11" spans="1:16" x14ac:dyDescent="0.35">
      <c r="A11" s="48" t="s">
        <v>45</v>
      </c>
      <c r="B11" s="48"/>
      <c r="C11" s="48"/>
      <c r="D11" s="48"/>
      <c r="J11" s="53" t="s">
        <v>57</v>
      </c>
      <c r="K11" s="31"/>
    </row>
    <row r="12" spans="1:16" x14ac:dyDescent="0.35">
      <c r="A12" s="48"/>
      <c r="B12" s="48" t="s">
        <v>0</v>
      </c>
      <c r="C12" s="48"/>
      <c r="D12" s="48" t="s">
        <v>44</v>
      </c>
      <c r="H12" s="53"/>
      <c r="J12" s="53"/>
      <c r="K12" s="31"/>
    </row>
    <row r="13" spans="1:16" x14ac:dyDescent="0.35">
      <c r="A13" s="48" t="s">
        <v>40</v>
      </c>
      <c r="B13" s="49">
        <f>SUM(A3:A3)</f>
        <v>15</v>
      </c>
      <c r="C13" s="49"/>
      <c r="D13" s="50">
        <f>SUM(B13/$B$18)</f>
        <v>0.21739130434782608</v>
      </c>
      <c r="E13" s="1"/>
      <c r="F13" s="1"/>
      <c r="G13" s="1"/>
      <c r="H13" s="53"/>
      <c r="I13" s="1"/>
      <c r="J13" s="53"/>
      <c r="K13" s="31"/>
      <c r="L13" s="1"/>
      <c r="M13" s="1"/>
      <c r="N13" s="1"/>
      <c r="O13" s="1"/>
      <c r="P13" s="1"/>
    </row>
    <row r="14" spans="1:16" x14ac:dyDescent="0.35">
      <c r="A14" s="48" t="s">
        <v>41</v>
      </c>
      <c r="B14" s="49">
        <f>SUM(A4,A6)</f>
        <v>16</v>
      </c>
      <c r="C14" s="49"/>
      <c r="D14" s="50">
        <f t="shared" ref="D14:D16" si="10">SUM(B14/$B$18)</f>
        <v>0.2318840579710145</v>
      </c>
      <c r="E14" s="1"/>
      <c r="F14" s="1"/>
      <c r="G14" s="1"/>
      <c r="H14" s="53"/>
      <c r="I14" s="1"/>
      <c r="J14" s="53"/>
      <c r="K14" s="31"/>
      <c r="L14" s="1"/>
      <c r="M14" s="1"/>
      <c r="N14" s="1"/>
      <c r="O14" s="1"/>
      <c r="P14" s="1"/>
    </row>
    <row r="15" spans="1:16" x14ac:dyDescent="0.35">
      <c r="A15" s="48" t="s">
        <v>42</v>
      </c>
      <c r="B15" s="49">
        <f>SUM(A5)</f>
        <v>6</v>
      </c>
      <c r="C15" s="49"/>
      <c r="D15" s="50">
        <f t="shared" si="10"/>
        <v>8.6956521739130432E-2</v>
      </c>
      <c r="E15" s="1"/>
      <c r="F15" s="1"/>
      <c r="G15" s="1"/>
      <c r="H15" s="53"/>
      <c r="I15" s="1"/>
      <c r="J15" s="53"/>
      <c r="K15" s="31"/>
      <c r="L15" s="1"/>
      <c r="M15" s="1"/>
      <c r="N15" s="1"/>
      <c r="O15" s="1"/>
      <c r="P15" s="1"/>
    </row>
    <row r="16" spans="1:16" x14ac:dyDescent="0.35">
      <c r="A16" s="48" t="s">
        <v>43</v>
      </c>
      <c r="B16" s="49">
        <f>SUM(A7:A8)</f>
        <v>32</v>
      </c>
      <c r="C16" s="49"/>
      <c r="D16" s="50">
        <f t="shared" si="10"/>
        <v>0.46376811594202899</v>
      </c>
      <c r="E16" s="1"/>
      <c r="F16" s="1"/>
      <c r="G16" s="1"/>
      <c r="H16" s="53"/>
      <c r="I16" s="1"/>
      <c r="J16" s="53"/>
      <c r="K16" s="1"/>
      <c r="L16" s="1"/>
      <c r="M16" s="1"/>
      <c r="N16" s="1"/>
      <c r="O16" s="1"/>
      <c r="P16" s="1"/>
    </row>
    <row r="17" spans="1:16" x14ac:dyDescent="0.35">
      <c r="A17" s="48"/>
      <c r="B17" s="49"/>
      <c r="C17" s="49"/>
      <c r="D17" s="49"/>
      <c r="E17" s="1"/>
      <c r="F17" s="1"/>
      <c r="G17" s="1"/>
      <c r="H17" s="53"/>
      <c r="I17" s="1"/>
      <c r="J17" s="53"/>
      <c r="K17" s="1"/>
      <c r="L17" s="1"/>
      <c r="M17" s="1"/>
      <c r="N17" s="1"/>
      <c r="O17" s="1"/>
      <c r="P17" s="1"/>
    </row>
    <row r="18" spans="1:16" x14ac:dyDescent="0.35">
      <c r="A18" s="48" t="s">
        <v>46</v>
      </c>
      <c r="B18" s="49">
        <f>SUM(B13:B16)</f>
        <v>69</v>
      </c>
      <c r="C18" s="49"/>
      <c r="D18" s="51">
        <f>SUM(D13:D16)</f>
        <v>1</v>
      </c>
      <c r="E18" s="1"/>
      <c r="F18" s="1"/>
      <c r="G18" s="1"/>
      <c r="H18" s="53"/>
      <c r="I18" s="1"/>
      <c r="J18" s="1"/>
      <c r="K18" s="1"/>
      <c r="L18" s="1"/>
      <c r="M18" s="1"/>
      <c r="N18" s="1"/>
      <c r="O18" s="1"/>
      <c r="P18" s="1"/>
    </row>
    <row r="19" spans="1:16" x14ac:dyDescent="0.35">
      <c r="A19" s="1"/>
      <c r="B19" s="1"/>
      <c r="C19" s="1"/>
      <c r="D19" s="1"/>
      <c r="E19" s="1"/>
      <c r="F19" s="1"/>
      <c r="G19" s="1"/>
      <c r="H19" s="53"/>
      <c r="I19" s="1"/>
      <c r="J19" s="1"/>
      <c r="K19" s="1"/>
      <c r="L19" s="1"/>
      <c r="M19" s="1"/>
      <c r="N19" s="1"/>
      <c r="O19" s="1"/>
      <c r="P19" s="1"/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5">
      <c r="A22" s="1"/>
      <c r="B22" s="1"/>
      <c r="C22" s="1"/>
      <c r="D22" s="1"/>
      <c r="E22" s="1"/>
      <c r="F22" s="1"/>
      <c r="G22" s="1"/>
      <c r="H22" s="53"/>
      <c r="I22" s="1"/>
      <c r="J22" s="1"/>
      <c r="K22" s="1"/>
      <c r="L22" s="1"/>
      <c r="M22" s="1"/>
      <c r="N22" s="1"/>
      <c r="O22" s="1"/>
      <c r="P22" s="1"/>
    </row>
    <row r="23" spans="1:16" x14ac:dyDescent="0.35">
      <c r="A23" s="1"/>
      <c r="B23" s="1"/>
      <c r="C23" s="1"/>
      <c r="D23" s="1"/>
      <c r="E23" s="1"/>
      <c r="F23" s="1"/>
      <c r="G23" s="1"/>
      <c r="H23" s="53"/>
      <c r="I23" s="1"/>
      <c r="J23" s="1"/>
      <c r="K23" s="1"/>
      <c r="L23" s="1"/>
      <c r="M23" s="1"/>
      <c r="N23" s="1"/>
      <c r="O23" s="1"/>
      <c r="P23" s="1"/>
    </row>
    <row r="24" spans="1:16" x14ac:dyDescent="0.35">
      <c r="A24" s="1"/>
      <c r="B24" s="1"/>
      <c r="C24" s="1"/>
      <c r="D24" s="1"/>
      <c r="E24" s="1"/>
      <c r="F24" s="1"/>
      <c r="G24" s="1"/>
      <c r="H24" s="53"/>
      <c r="I24" s="1"/>
      <c r="J24" s="1"/>
      <c r="K24" s="1"/>
      <c r="L24" s="1"/>
      <c r="M24" s="1"/>
      <c r="N24" s="1"/>
      <c r="O24" s="1"/>
      <c r="P24" s="1"/>
    </row>
    <row r="25" spans="1:16" x14ac:dyDescent="0.35">
      <c r="A25" s="1"/>
      <c r="B25" s="1"/>
      <c r="C25" s="1"/>
      <c r="D25" s="1"/>
      <c r="E25" s="1"/>
      <c r="F25" s="1"/>
      <c r="G25" s="1"/>
      <c r="H25" s="53"/>
      <c r="I25" s="1"/>
      <c r="J25" s="1"/>
      <c r="K25" s="1"/>
      <c r="L25" s="1"/>
      <c r="M25" s="1"/>
      <c r="N25" s="1"/>
      <c r="O25" s="1"/>
      <c r="P25" s="1"/>
    </row>
    <row r="26" spans="1:16" x14ac:dyDescent="0.35">
      <c r="A26" s="1"/>
      <c r="B26" s="1"/>
      <c r="C26" s="1"/>
      <c r="D26" s="1"/>
      <c r="E26" s="1"/>
      <c r="F26" s="1"/>
      <c r="G26" s="1"/>
      <c r="H26" s="53"/>
      <c r="I26" s="1"/>
      <c r="J26" s="1"/>
      <c r="K26" s="1"/>
      <c r="L26" s="1"/>
      <c r="M26" s="1"/>
      <c r="N26" s="1"/>
      <c r="O26" s="1"/>
      <c r="P26" s="1"/>
    </row>
    <row r="27" spans="1:16" x14ac:dyDescent="0.35">
      <c r="A27" s="1"/>
      <c r="B27" s="1"/>
      <c r="C27" s="1"/>
      <c r="D27" s="1"/>
      <c r="E27" s="1"/>
      <c r="F27" s="1"/>
      <c r="G27" s="1"/>
      <c r="H27" s="53"/>
      <c r="I27" s="1"/>
      <c r="J27" s="1"/>
      <c r="K27" s="1"/>
      <c r="L27" s="1"/>
      <c r="M27" s="1"/>
      <c r="N27" s="1"/>
      <c r="O27" s="1"/>
      <c r="P27" s="1"/>
    </row>
    <row r="28" spans="1:16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5">
      <c r="I31" s="1"/>
      <c r="K31" s="1"/>
      <c r="L31" s="1"/>
      <c r="M31" s="1"/>
      <c r="N31" s="1"/>
      <c r="O31" s="1"/>
    </row>
    <row r="32" spans="1:16" x14ac:dyDescent="0.35">
      <c r="P32" s="1"/>
    </row>
    <row r="42" spans="11:11" x14ac:dyDescent="0.35">
      <c r="K42" s="1"/>
    </row>
    <row r="43" spans="11:11" x14ac:dyDescent="0.35">
      <c r="K43" s="1"/>
    </row>
    <row r="44" spans="11:11" x14ac:dyDescent="0.35">
      <c r="K44" s="1"/>
    </row>
    <row r="45" spans="11:11" x14ac:dyDescent="0.35">
      <c r="K45" s="1"/>
    </row>
    <row r="55" spans="6:8" x14ac:dyDescent="0.35">
      <c r="F55" s="4"/>
      <c r="G55" s="5"/>
      <c r="H55" s="6"/>
    </row>
    <row r="56" spans="6:8" x14ac:dyDescent="0.35">
      <c r="F56" s="4"/>
      <c r="G56" s="5"/>
      <c r="H56" s="6"/>
    </row>
    <row r="57" spans="6:8" x14ac:dyDescent="0.35">
      <c r="F57" s="4"/>
      <c r="G57" s="5"/>
      <c r="H57" s="6"/>
    </row>
    <row r="58" spans="6:8" x14ac:dyDescent="0.35">
      <c r="F58" s="4"/>
      <c r="G58" s="5"/>
      <c r="H58" s="6"/>
    </row>
    <row r="59" spans="6:8" x14ac:dyDescent="0.35">
      <c r="F59" s="7"/>
      <c r="G59" s="7"/>
      <c r="H59" s="8"/>
    </row>
    <row r="60" spans="6:8" x14ac:dyDescent="0.35">
      <c r="F60" s="9"/>
      <c r="G60" s="10"/>
      <c r="H60" s="11"/>
    </row>
    <row r="61" spans="6:8" x14ac:dyDescent="0.35">
      <c r="F61" s="9"/>
      <c r="G61" s="10"/>
      <c r="H61" s="11"/>
    </row>
    <row r="62" spans="6:8" x14ac:dyDescent="0.35">
      <c r="F62" s="12"/>
      <c r="G62" s="13"/>
      <c r="H62" s="11"/>
    </row>
    <row r="63" spans="6:8" x14ac:dyDescent="0.35">
      <c r="F63" s="4"/>
      <c r="G63" s="5"/>
      <c r="H63" s="6"/>
    </row>
    <row r="64" spans="6:8" x14ac:dyDescent="0.35">
      <c r="F64" s="4"/>
      <c r="G64" s="5"/>
      <c r="H64" s="6"/>
    </row>
    <row r="65" spans="6:8" x14ac:dyDescent="0.35">
      <c r="F65" s="4"/>
      <c r="G65" s="5"/>
      <c r="H65" s="6"/>
    </row>
    <row r="66" spans="6:8" x14ac:dyDescent="0.35">
      <c r="F66" s="4"/>
      <c r="G66" s="5"/>
      <c r="H66" s="6"/>
    </row>
    <row r="67" spans="6:8" x14ac:dyDescent="0.35">
      <c r="F67" s="4"/>
      <c r="G67" s="5"/>
      <c r="H67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94366-ECE6-4440-8BC0-90716BB8E478}">
  <dimension ref="A1:P67"/>
  <sheetViews>
    <sheetView zoomScale="115" zoomScaleNormal="115" workbookViewId="0">
      <selection activeCell="O10" sqref="O10"/>
    </sheetView>
  </sheetViews>
  <sheetFormatPr defaultRowHeight="14.5" x14ac:dyDescent="0.35"/>
  <cols>
    <col min="1" max="1" width="19.26953125" bestFit="1" customWidth="1"/>
    <col min="2" max="2" width="34.81640625" bestFit="1" customWidth="1"/>
    <col min="3" max="3" width="4.26953125" bestFit="1" customWidth="1"/>
    <col min="4" max="4" width="10.7265625" bestFit="1" customWidth="1"/>
    <col min="5" max="5" width="7.54296875" customWidth="1"/>
    <col min="6" max="6" width="10.08984375" bestFit="1" customWidth="1"/>
    <col min="7" max="7" width="10.81640625" bestFit="1" customWidth="1"/>
    <col min="8" max="9" width="13.1796875" bestFit="1" customWidth="1"/>
    <col min="10" max="10" width="12.1796875" bestFit="1" customWidth="1"/>
    <col min="11" max="11" width="10.54296875" bestFit="1" customWidth="1"/>
    <col min="12" max="12" width="19.453125" bestFit="1" customWidth="1"/>
    <col min="13" max="13" width="15.54296875" bestFit="1" customWidth="1"/>
    <col min="14" max="14" width="13.1796875" bestFit="1" customWidth="1"/>
    <col min="15" max="15" width="15.81640625" bestFit="1" customWidth="1"/>
    <col min="17" max="17" width="24" customWidth="1"/>
  </cols>
  <sheetData>
    <row r="1" spans="1:16" x14ac:dyDescent="0.35">
      <c r="K1" s="59">
        <v>0.3</v>
      </c>
      <c r="L1" s="2"/>
    </row>
    <row r="2" spans="1:16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</row>
    <row r="3" spans="1:16" x14ac:dyDescent="0.35">
      <c r="A3" s="65">
        <f>Standaard!A3</f>
        <v>15</v>
      </c>
      <c r="B3" t="s">
        <v>58</v>
      </c>
      <c r="C3" s="40"/>
      <c r="D3" s="40"/>
      <c r="E3" s="65">
        <f>Standaard!E3</f>
        <v>120</v>
      </c>
      <c r="F3" s="67">
        <f>Standaard!F3*(1+$G$13)</f>
        <v>121.00000000000001</v>
      </c>
      <c r="G3" s="74"/>
      <c r="H3" s="74"/>
      <c r="I3" s="74"/>
      <c r="J3" s="74"/>
      <c r="K3" s="74"/>
      <c r="L3" s="74"/>
      <c r="M3" s="74"/>
      <c r="N3" s="77">
        <f>O3*F3</f>
        <v>22000.000000000004</v>
      </c>
      <c r="O3" s="76">
        <f>Standaard!O3</f>
        <v>181.81818181818181</v>
      </c>
      <c r="P3">
        <f>A3*F3</f>
        <v>1815.0000000000002</v>
      </c>
    </row>
    <row r="4" spans="1:16" x14ac:dyDescent="0.35">
      <c r="A4" s="65">
        <f>Standaard!A4</f>
        <v>5</v>
      </c>
      <c r="B4" t="s">
        <v>62</v>
      </c>
      <c r="C4" s="65">
        <f>Standaard!C4</f>
        <v>70</v>
      </c>
      <c r="D4" s="66">
        <v>0.77</v>
      </c>
      <c r="E4" s="67">
        <f t="shared" ref="E4:E8" si="0">C4/D4</f>
        <v>90.909090909090907</v>
      </c>
      <c r="F4" s="67">
        <f>Standaard!F4*(1+$G$13)</f>
        <v>104.50000000000001</v>
      </c>
      <c r="G4" s="77">
        <f>Standaard!G4+Standaard!O4*Standaard!F4*$G$13*1.21/C4</f>
        <v>4315.2874285714288</v>
      </c>
      <c r="H4" s="76">
        <f t="shared" ref="H4:H8" si="1">G4*C4</f>
        <v>302070.12</v>
      </c>
      <c r="I4" s="76">
        <f t="shared" ref="I4:I8" si="2">H4/1.21</f>
        <v>249644.72727272726</v>
      </c>
      <c r="J4" s="77">
        <f>Standaard!J4</f>
        <v>1356</v>
      </c>
      <c r="K4" s="76">
        <f t="shared" ref="K4:K8" si="3">J4*$K$1</f>
        <v>406.8</v>
      </c>
      <c r="L4" s="76">
        <f t="shared" ref="L4:L8" si="4">J4+K4</f>
        <v>1762.8</v>
      </c>
      <c r="M4" s="76">
        <f t="shared" ref="M4:M8" si="5">L4*E4</f>
        <v>160254.54545454544</v>
      </c>
      <c r="N4" s="76">
        <f t="shared" ref="N4:N8" si="6">I4-M4</f>
        <v>89390.181818181823</v>
      </c>
      <c r="O4" s="76">
        <f t="shared" ref="O4:O8" si="7">N4/F4</f>
        <v>855.40843845150061</v>
      </c>
      <c r="P4">
        <f t="shared" ref="P4:P8" si="8">A4*F4</f>
        <v>522.50000000000011</v>
      </c>
    </row>
    <row r="5" spans="1:16" x14ac:dyDescent="0.35">
      <c r="A5" s="65">
        <f>Standaard!A5</f>
        <v>6</v>
      </c>
      <c r="B5" t="s">
        <v>63</v>
      </c>
      <c r="C5" s="65">
        <f>Standaard!C5</f>
        <v>100</v>
      </c>
      <c r="D5" s="66">
        <v>0.77</v>
      </c>
      <c r="E5" s="67">
        <f t="shared" si="0"/>
        <v>129.87012987012986</v>
      </c>
      <c r="F5" s="67">
        <f>Standaard!F5*(1+$G$13)</f>
        <v>137.5</v>
      </c>
      <c r="G5" s="77">
        <f>Standaard!G5+Standaard!O5*Standaard!F5*$G$13*1.21/C5</f>
        <v>4312.0798630136987</v>
      </c>
      <c r="H5" s="76">
        <f t="shared" si="1"/>
        <v>431207.98630136985</v>
      </c>
      <c r="I5" s="76">
        <f t="shared" si="2"/>
        <v>356370.23661270237</v>
      </c>
      <c r="J5" s="77">
        <f>Standaard!J5</f>
        <v>1429</v>
      </c>
      <c r="K5" s="76">
        <f t="shared" si="3"/>
        <v>428.7</v>
      </c>
      <c r="L5" s="76">
        <f t="shared" si="4"/>
        <v>1857.7</v>
      </c>
      <c r="M5" s="76">
        <f t="shared" si="5"/>
        <v>241259.74025974024</v>
      </c>
      <c r="N5" s="76">
        <f t="shared" si="6"/>
        <v>115110.49635296213</v>
      </c>
      <c r="O5" s="76">
        <f t="shared" si="7"/>
        <v>837.16724620336095</v>
      </c>
      <c r="P5">
        <f t="shared" si="8"/>
        <v>825</v>
      </c>
    </row>
    <row r="6" spans="1:16" x14ac:dyDescent="0.35">
      <c r="A6" s="65">
        <f>Standaard!A6</f>
        <v>11</v>
      </c>
      <c r="B6" t="s">
        <v>59</v>
      </c>
      <c r="C6" s="65">
        <f>Standaard!C6</f>
        <v>65</v>
      </c>
      <c r="D6" s="66">
        <v>0.72</v>
      </c>
      <c r="E6" s="67">
        <f t="shared" si="0"/>
        <v>90.277777777777786</v>
      </c>
      <c r="F6" s="67">
        <f>Standaard!F6*(1+$G$13)</f>
        <v>99.000000000000014</v>
      </c>
      <c r="G6" s="77">
        <f>Standaard!G6+Standaard!O6*Standaard!F6*$G$13*1.21/C6</f>
        <v>4157.0038888888885</v>
      </c>
      <c r="H6" s="76">
        <f t="shared" si="1"/>
        <v>270205.25277777773</v>
      </c>
      <c r="I6" s="76">
        <f t="shared" si="2"/>
        <v>223310.12626262623</v>
      </c>
      <c r="J6" s="77">
        <f>Standaard!J6</f>
        <v>1364</v>
      </c>
      <c r="K6" s="76">
        <f t="shared" si="3"/>
        <v>409.2</v>
      </c>
      <c r="L6" s="76">
        <f t="shared" si="4"/>
        <v>1773.2</v>
      </c>
      <c r="M6" s="76">
        <f t="shared" si="5"/>
        <v>160080.55555555556</v>
      </c>
      <c r="N6" s="76">
        <f t="shared" si="6"/>
        <v>63229.57070707067</v>
      </c>
      <c r="O6" s="76">
        <f t="shared" si="7"/>
        <v>638.68253239465309</v>
      </c>
      <c r="P6">
        <f t="shared" si="8"/>
        <v>1089.0000000000002</v>
      </c>
    </row>
    <row r="7" spans="1:16" x14ac:dyDescent="0.35">
      <c r="A7" s="65">
        <f>Standaard!A7</f>
        <v>24</v>
      </c>
      <c r="B7" t="s">
        <v>60</v>
      </c>
      <c r="C7" s="65">
        <f>Standaard!C7</f>
        <v>140</v>
      </c>
      <c r="D7" s="66">
        <v>0.76</v>
      </c>
      <c r="E7" s="67">
        <f t="shared" si="0"/>
        <v>184.21052631578948</v>
      </c>
      <c r="F7" s="67">
        <f>Standaard!F7</f>
        <v>300</v>
      </c>
      <c r="G7" s="77">
        <f>Standaard!G7</f>
        <v>4325</v>
      </c>
      <c r="H7" s="76">
        <f t="shared" si="1"/>
        <v>605500</v>
      </c>
      <c r="I7" s="76">
        <f t="shared" si="2"/>
        <v>500413.22314049589</v>
      </c>
      <c r="J7" s="77">
        <f>Standaard!J7</f>
        <v>1506</v>
      </c>
      <c r="K7" s="76">
        <f t="shared" si="3"/>
        <v>451.8</v>
      </c>
      <c r="L7" s="76">
        <f t="shared" si="4"/>
        <v>1957.8</v>
      </c>
      <c r="M7" s="76">
        <f t="shared" si="5"/>
        <v>360647.36842105264</v>
      </c>
      <c r="N7" s="76">
        <f t="shared" si="6"/>
        <v>139765.85471944325</v>
      </c>
      <c r="O7" s="76">
        <f t="shared" si="7"/>
        <v>465.88618239814417</v>
      </c>
      <c r="P7" s="1">
        <f t="shared" si="8"/>
        <v>7200</v>
      </c>
    </row>
    <row r="8" spans="1:16" x14ac:dyDescent="0.35">
      <c r="A8" s="65">
        <f>Standaard!A8</f>
        <v>8</v>
      </c>
      <c r="B8" t="s">
        <v>61</v>
      </c>
      <c r="C8" s="65">
        <f>Standaard!C8</f>
        <v>150</v>
      </c>
      <c r="D8" s="66">
        <v>0.76</v>
      </c>
      <c r="E8" s="67">
        <f t="shared" si="0"/>
        <v>197.36842105263159</v>
      </c>
      <c r="F8" s="67">
        <f>Standaard!F8</f>
        <v>400</v>
      </c>
      <c r="G8" s="77">
        <f>Standaard!G8</f>
        <v>4700</v>
      </c>
      <c r="H8" s="76">
        <f t="shared" si="1"/>
        <v>705000</v>
      </c>
      <c r="I8" s="76">
        <f t="shared" si="2"/>
        <v>582644.62809917354</v>
      </c>
      <c r="J8" s="77">
        <f>Standaard!J8</f>
        <v>1465</v>
      </c>
      <c r="K8" s="76">
        <f t="shared" si="3"/>
        <v>439.5</v>
      </c>
      <c r="L8" s="76">
        <f t="shared" si="4"/>
        <v>1904.5</v>
      </c>
      <c r="M8" s="76">
        <f t="shared" si="5"/>
        <v>375888.15789473685</v>
      </c>
      <c r="N8" s="76">
        <f t="shared" si="6"/>
        <v>206756.47020443669</v>
      </c>
      <c r="O8" s="76">
        <f t="shared" si="7"/>
        <v>516.89117551109166</v>
      </c>
      <c r="P8" s="1">
        <f t="shared" si="8"/>
        <v>3200</v>
      </c>
    </row>
    <row r="9" spans="1:16" x14ac:dyDescent="0.35">
      <c r="I9" s="1"/>
      <c r="K9" s="1"/>
      <c r="L9" s="1"/>
      <c r="M9" s="1"/>
      <c r="N9" s="1"/>
      <c r="O9" s="1"/>
    </row>
    <row r="10" spans="1:16" x14ac:dyDescent="0.35">
      <c r="A10">
        <f>SUM(A3:A9)</f>
        <v>69</v>
      </c>
      <c r="F10" s="1">
        <f>SUMPRODUCT(A3:A8,F3:F8)</f>
        <v>14651.5</v>
      </c>
      <c r="I10" s="1"/>
      <c r="N10" s="1">
        <f>SUMPRODUCT(A3:A8,N3:N8)</f>
        <v>7171571.4398885909</v>
      </c>
      <c r="O10" s="76">
        <f>AVERAGE(O4:O8)</f>
        <v>662.80711499175015</v>
      </c>
      <c r="P10" s="1">
        <f>SUM(P3:P9)</f>
        <v>14651.5</v>
      </c>
    </row>
    <row r="11" spans="1:16" x14ac:dyDescent="0.35">
      <c r="A11" s="48" t="s">
        <v>45</v>
      </c>
      <c r="B11" s="48"/>
      <c r="C11" s="48"/>
      <c r="D11" s="48"/>
      <c r="N11" s="1"/>
    </row>
    <row r="12" spans="1:16" x14ac:dyDescent="0.35">
      <c r="A12" s="48"/>
      <c r="B12" s="48" t="s">
        <v>0</v>
      </c>
      <c r="C12" s="48"/>
      <c r="D12" s="48" t="s">
        <v>44</v>
      </c>
      <c r="G12" t="s">
        <v>50</v>
      </c>
      <c r="N12" s="1"/>
    </row>
    <row r="13" spans="1:16" x14ac:dyDescent="0.35">
      <c r="A13" s="48" t="s">
        <v>40</v>
      </c>
      <c r="B13" s="49">
        <f>SUM(A3:A3)</f>
        <v>15</v>
      </c>
      <c r="C13" s="49"/>
      <c r="D13" s="50">
        <f>SUM(B13/$B$18)</f>
        <v>0.21739130434782608</v>
      </c>
      <c r="G13" s="59">
        <v>0.1</v>
      </c>
    </row>
    <row r="14" spans="1:16" x14ac:dyDescent="0.35">
      <c r="A14" s="48" t="s">
        <v>41</v>
      </c>
      <c r="B14" s="49">
        <f>SUM(A4,A6)</f>
        <v>16</v>
      </c>
      <c r="C14" s="49"/>
      <c r="D14" s="50">
        <f t="shared" ref="D14:D16" si="9">SUM(B14/$B$18)</f>
        <v>0.2318840579710145</v>
      </c>
      <c r="G14" t="s">
        <v>51</v>
      </c>
    </row>
    <row r="15" spans="1:16" x14ac:dyDescent="0.35">
      <c r="A15" s="48" t="s">
        <v>42</v>
      </c>
      <c r="B15" s="49">
        <f>SUM(A5)</f>
        <v>6</v>
      </c>
      <c r="C15" s="49"/>
      <c r="D15" s="50">
        <f t="shared" si="9"/>
        <v>8.6956521739130432E-2</v>
      </c>
      <c r="G15" s="64">
        <f>Grex!B6/Grex!B8</f>
        <v>0.88419207851384507</v>
      </c>
    </row>
    <row r="16" spans="1:16" x14ac:dyDescent="0.35">
      <c r="A16" s="48" t="s">
        <v>43</v>
      </c>
      <c r="B16" s="49">
        <f>SUM(A7:A8)</f>
        <v>32</v>
      </c>
      <c r="C16" s="49"/>
      <c r="D16" s="50">
        <f t="shared" si="9"/>
        <v>0.46376811594202899</v>
      </c>
    </row>
    <row r="17" spans="1:16" x14ac:dyDescent="0.35">
      <c r="A17" s="48"/>
      <c r="B17" s="49"/>
      <c r="C17" s="49"/>
      <c r="D17" s="49"/>
    </row>
    <row r="18" spans="1:16" x14ac:dyDescent="0.35">
      <c r="A18" s="48" t="s">
        <v>46</v>
      </c>
      <c r="B18" s="49">
        <f>SUM(B13:B16)</f>
        <v>69</v>
      </c>
      <c r="C18" s="49"/>
      <c r="D18" s="51">
        <f>SUM(D13:D16)</f>
        <v>1</v>
      </c>
    </row>
    <row r="20" spans="1:16" x14ac:dyDescent="0.35"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5"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3" spans="1:16" x14ac:dyDescent="0.35">
      <c r="E23" s="1"/>
      <c r="F23" s="1"/>
      <c r="N23" s="1"/>
      <c r="O23" s="1"/>
      <c r="P23" s="1"/>
    </row>
    <row r="32" spans="1:16" x14ac:dyDescent="0.35">
      <c r="P32" s="1"/>
    </row>
    <row r="42" spans="11:11" x14ac:dyDescent="0.35">
      <c r="K42" s="1"/>
    </row>
    <row r="43" spans="11:11" x14ac:dyDescent="0.35">
      <c r="K43" s="1"/>
    </row>
    <row r="44" spans="11:11" x14ac:dyDescent="0.35">
      <c r="K44" s="1"/>
    </row>
    <row r="45" spans="11:11" x14ac:dyDescent="0.35">
      <c r="K45" s="1"/>
    </row>
    <row r="55" spans="6:8" x14ac:dyDescent="0.35">
      <c r="F55" s="4"/>
      <c r="G55" s="5"/>
      <c r="H55" s="6"/>
    </row>
    <row r="56" spans="6:8" x14ac:dyDescent="0.35">
      <c r="F56" s="4"/>
      <c r="G56" s="5"/>
      <c r="H56" s="6"/>
    </row>
    <row r="57" spans="6:8" x14ac:dyDescent="0.35">
      <c r="F57" s="4"/>
      <c r="G57" s="5"/>
      <c r="H57" s="6"/>
    </row>
    <row r="58" spans="6:8" x14ac:dyDescent="0.35">
      <c r="F58" s="4"/>
      <c r="G58" s="5"/>
      <c r="H58" s="6"/>
    </row>
    <row r="59" spans="6:8" x14ac:dyDescent="0.35">
      <c r="F59" s="7"/>
      <c r="G59" s="7"/>
      <c r="H59" s="8"/>
    </row>
    <row r="60" spans="6:8" x14ac:dyDescent="0.35">
      <c r="F60" s="9"/>
      <c r="G60" s="10"/>
      <c r="H60" s="11"/>
    </row>
    <row r="61" spans="6:8" x14ac:dyDescent="0.35">
      <c r="F61" s="9"/>
      <c r="G61" s="10"/>
      <c r="H61" s="11"/>
    </row>
    <row r="62" spans="6:8" x14ac:dyDescent="0.35">
      <c r="F62" s="12"/>
      <c r="G62" s="13"/>
      <c r="H62" s="11"/>
    </row>
    <row r="63" spans="6:8" x14ac:dyDescent="0.35">
      <c r="F63" s="4"/>
      <c r="G63" s="5"/>
      <c r="H63" s="6"/>
    </row>
    <row r="64" spans="6:8" x14ac:dyDescent="0.35">
      <c r="F64" s="4"/>
      <c r="G64" s="5"/>
      <c r="H64" s="6"/>
    </row>
    <row r="65" spans="6:8" x14ac:dyDescent="0.35">
      <c r="F65" s="4"/>
      <c r="G65" s="5"/>
      <c r="H65" s="6"/>
    </row>
    <row r="66" spans="6:8" x14ac:dyDescent="0.35">
      <c r="F66" s="4"/>
      <c r="G66" s="5"/>
      <c r="H66" s="6"/>
    </row>
    <row r="67" spans="6:8" x14ac:dyDescent="0.35">
      <c r="F67" s="4"/>
      <c r="G67" s="5"/>
      <c r="H67" s="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C53A9-9769-4433-BAD7-8D4CA33C6D9C}">
  <dimension ref="B1:O8"/>
  <sheetViews>
    <sheetView topLeftCell="A4" zoomScale="130" zoomScaleNormal="130" workbookViewId="0">
      <selection activeCell="L32" sqref="L32"/>
    </sheetView>
  </sheetViews>
  <sheetFormatPr defaultColWidth="9.81640625" defaultRowHeight="14.5" x14ac:dyDescent="0.35"/>
  <cols>
    <col min="6" max="6" width="10.1796875" bestFit="1" customWidth="1"/>
    <col min="7" max="7" width="14.54296875" bestFit="1" customWidth="1"/>
    <col min="8" max="8" width="12.6328125" bestFit="1" customWidth="1"/>
    <col min="9" max="12" width="9.90625" bestFit="1" customWidth="1"/>
  </cols>
  <sheetData>
    <row r="1" spans="2:15" x14ac:dyDescent="0.35">
      <c r="F1" t="s">
        <v>3</v>
      </c>
      <c r="G1" t="s">
        <v>67</v>
      </c>
      <c r="H1" t="s">
        <v>68</v>
      </c>
      <c r="I1" t="s">
        <v>64</v>
      </c>
      <c r="J1" t="s">
        <v>65</v>
      </c>
      <c r="K1" t="s">
        <v>66</v>
      </c>
      <c r="L1" t="s">
        <v>69</v>
      </c>
    </row>
    <row r="2" spans="2:15" x14ac:dyDescent="0.35">
      <c r="B2" t="s">
        <v>58</v>
      </c>
      <c r="F2" s="2">
        <v>0.73</v>
      </c>
      <c r="G2" t="s">
        <v>65</v>
      </c>
      <c r="H2" s="39" cm="1">
        <f t="array" ref="H2">IF(G2="laag",I2,IF(G2="gemiddelde laag en basis",(I2+J2)/2,IF(G2="basis",J2,IF(G2="gemiddelde basis en hoog",(J2+K2)/2,IF(G2="hoog",K2,onbekend)))))</f>
        <v>1289</v>
      </c>
      <c r="I2">
        <v>1181</v>
      </c>
      <c r="J2">
        <v>1289</v>
      </c>
      <c r="K2">
        <v>1627</v>
      </c>
    </row>
    <row r="3" spans="2:15" x14ac:dyDescent="0.35">
      <c r="B3" t="s">
        <v>62</v>
      </c>
      <c r="F3" s="68">
        <v>0.7</v>
      </c>
      <c r="G3" s="69" t="s">
        <v>65</v>
      </c>
      <c r="H3" s="76" cm="1">
        <f t="array" ref="H3">IF(G3="laag",I3,IF(G3="gemiddelde laag en basis",(I3+J3)/2,IF(G3="basis",J3,IF(G3="gemiddelde basis en hoog",(J3+K3)/2,IF(G3="hoog",K3,onbekend)))))+L3</f>
        <v>1356</v>
      </c>
      <c r="I3" s="69">
        <v>1043</v>
      </c>
      <c r="J3" s="69">
        <v>1106</v>
      </c>
      <c r="K3" s="69">
        <v>1440</v>
      </c>
      <c r="L3" s="69">
        <v>250</v>
      </c>
      <c r="M3" s="69"/>
      <c r="N3" s="69"/>
      <c r="O3" s="69"/>
    </row>
    <row r="4" spans="2:15" x14ac:dyDescent="0.35">
      <c r="B4" t="s">
        <v>63</v>
      </c>
      <c r="F4" s="68">
        <v>0.73</v>
      </c>
      <c r="G4" s="69" t="s">
        <v>65</v>
      </c>
      <c r="H4" s="76" cm="1">
        <f t="array" ref="H4">IF(G4="laag",I4,IF(G4="gemiddelde laag en basis",(I4+J4)/2,IF(G4="basis",J4,IF(G4="gemiddelde basis en hoog",(J4+K4)/2,IF(G4="hoog",K4,onbekend)))))+L4</f>
        <v>1429</v>
      </c>
      <c r="I4" s="69">
        <v>1125</v>
      </c>
      <c r="J4" s="69">
        <v>1279</v>
      </c>
      <c r="K4" s="69">
        <v>1686</v>
      </c>
      <c r="L4" s="69">
        <v>150</v>
      </c>
      <c r="M4" s="69"/>
      <c r="N4" s="69"/>
      <c r="O4" s="69"/>
    </row>
    <row r="5" spans="2:15" x14ac:dyDescent="0.35">
      <c r="B5" t="s">
        <v>59</v>
      </c>
      <c r="F5" s="2">
        <v>0.72</v>
      </c>
      <c r="G5" s="69" t="s">
        <v>65</v>
      </c>
      <c r="H5" s="76" cm="1">
        <f t="array" ref="H5">IF(G5="laag",I5,IF(G5="gemiddelde laag en basis",(I5+J5)/2,IF(G5="basis",J5,IF(G5="gemiddelde basis en hoog",(J5+K5)/2,IF(G5="hoog",K5,onbekend)))))</f>
        <v>1364</v>
      </c>
      <c r="I5" s="69">
        <v>1295</v>
      </c>
      <c r="J5" s="69">
        <v>1364</v>
      </c>
      <c r="K5" s="69">
        <v>1931</v>
      </c>
      <c r="L5" s="69"/>
      <c r="M5" s="69"/>
      <c r="N5" s="69"/>
      <c r="O5" s="69"/>
    </row>
    <row r="6" spans="2:15" x14ac:dyDescent="0.35">
      <c r="B6" t="s">
        <v>60</v>
      </c>
      <c r="F6" s="2">
        <v>0.76</v>
      </c>
      <c r="G6" s="69" t="s">
        <v>65</v>
      </c>
      <c r="H6" s="76" cm="1">
        <f t="array" ref="H6">IF(G6="laag",I6,IF(G6="gemiddelde laag en basis",(I6+J6)/2,IF(G6="basis",J6,IF(G6="gemiddelde basis en hoog",(J6+K6)/2,IF(G6="hoog",K6,onbekend)))))</f>
        <v>1506</v>
      </c>
      <c r="I6" s="69">
        <v>1271</v>
      </c>
      <c r="J6" s="69">
        <v>1506</v>
      </c>
      <c r="K6" s="69">
        <v>1785</v>
      </c>
      <c r="L6" s="69"/>
      <c r="M6" s="69"/>
      <c r="N6" s="69"/>
      <c r="O6" s="69"/>
    </row>
    <row r="7" spans="2:15" x14ac:dyDescent="0.35">
      <c r="B7" t="s">
        <v>61</v>
      </c>
      <c r="F7" s="2">
        <v>0.76</v>
      </c>
      <c r="G7" s="69" t="s">
        <v>65</v>
      </c>
      <c r="H7" s="76" cm="1">
        <f t="array" ref="H7">IF(G7="laag",I7,IF(G7="gemiddelde laag en basis",(I7+J7)/2,IF(G7="basis",J7,IF(G7="gemiddelde basis en hoog",(J7+K7)/2,IF(G7="hoog",K7,onbekend)))))</f>
        <v>1465</v>
      </c>
      <c r="I7" s="69">
        <v>1329</v>
      </c>
      <c r="J7" s="69">
        <v>1465</v>
      </c>
      <c r="K7" s="69">
        <v>1752</v>
      </c>
      <c r="L7" s="69"/>
      <c r="M7" s="69"/>
      <c r="N7" s="69"/>
      <c r="O7" s="69"/>
    </row>
    <row r="8" spans="2:15" x14ac:dyDescent="0.35">
      <c r="G8" s="69"/>
      <c r="H8" s="69"/>
      <c r="I8" s="69"/>
      <c r="J8" s="69"/>
      <c r="K8" s="69"/>
      <c r="L8" s="69"/>
      <c r="M8" s="69"/>
      <c r="N8" s="69"/>
      <c r="O8" s="6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48a8ece-529a-4180-887d-e23c147ac331">
      <Terms xmlns="http://schemas.microsoft.com/office/infopath/2007/PartnerControls"/>
    </lcf76f155ced4ddcb4097134ff3c332f>
    <TaxCatchAll xmlns="89591ddc-a43a-4bd4-9fb3-ce25c537db58" xsi:nil="true"/>
    <SharedWithUsers xmlns="89591ddc-a43a-4bd4-9fb3-ce25c537db58">
      <UserInfo>
        <DisplayName>Esther Geuting</DisplayName>
        <AccountId>20</AccountId>
        <AccountType/>
      </UserInfo>
      <UserInfo>
        <DisplayName>Erik de Leve</DisplayName>
        <AccountId>24</AccountId>
        <AccountType/>
      </UserInfo>
      <UserInfo>
        <DisplayName>Lukas Meuleman</DisplayName>
        <AccountId>21</AccountId>
        <AccountType/>
      </UserInfo>
      <UserInfo>
        <DisplayName>Luuk Lentferink</DisplayName>
        <AccountId>22</AccountId>
        <AccountType/>
      </UserInfo>
      <UserInfo>
        <DisplayName>Monique Geraats</DisplayName>
        <AccountId>15</AccountId>
        <AccountType/>
      </UserInfo>
      <UserInfo>
        <DisplayName>Tiny Bus</DisplayName>
        <AccountId>14</AccountId>
        <AccountType/>
      </UserInfo>
      <UserInfo>
        <DisplayName>Matthijs Ham</DisplayName>
        <AccountId>797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1E0D0B80E6A84588DDF7FFD5461B8D" ma:contentTypeVersion="16" ma:contentTypeDescription="Een nieuw document maken." ma:contentTypeScope="" ma:versionID="c39f56a5c8891e0dc63d51c2d9149b99">
  <xsd:schema xmlns:xsd="http://www.w3.org/2001/XMLSchema" xmlns:xs="http://www.w3.org/2001/XMLSchema" xmlns:p="http://schemas.microsoft.com/office/2006/metadata/properties" xmlns:ns2="548a8ece-529a-4180-887d-e23c147ac331" xmlns:ns3="89591ddc-a43a-4bd4-9fb3-ce25c537db58" targetNamespace="http://schemas.microsoft.com/office/2006/metadata/properties" ma:root="true" ma:fieldsID="35f1640914cb398bb82880d6d86741dc" ns2:_="" ns3:_="">
    <xsd:import namespace="548a8ece-529a-4180-887d-e23c147ac331"/>
    <xsd:import namespace="89591ddc-a43a-4bd4-9fb3-ce25c537db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8a8ece-529a-4180-887d-e23c147ac3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Afbeeldingtags" ma:readOnly="false" ma:fieldId="{5cf76f15-5ced-4ddc-b409-7134ff3c332f}" ma:taxonomyMulti="true" ma:sspId="2a40f33b-2b73-414a-8952-2b44638b35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591ddc-a43a-4bd4-9fb3-ce25c537db5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8d5ece5-5a7a-477a-8023-b2a56ab3f9c8}" ma:internalName="TaxCatchAll" ma:showField="CatchAllData" ma:web="89591ddc-a43a-4bd4-9fb3-ce25c537db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E0EA46-B108-4034-860E-F5E5992A7F87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  <ds:schemaRef ds:uri="89591ddc-a43a-4bd4-9fb3-ce25c537db58"/>
    <ds:schemaRef ds:uri="http://purl.org/dc/dcmitype/"/>
    <ds:schemaRef ds:uri="548a8ece-529a-4180-887d-e23c147ac331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F408B52-32F2-4B85-80B1-024B5AA816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ECCC5E-909A-4724-BAC9-CC30709C8E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8a8ece-529a-4180-887d-e23c147ac331"/>
    <ds:schemaRef ds:uri="89591ddc-a43a-4bd4-9fb3-ce25c537db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Grex</vt:lpstr>
      <vt:lpstr>Standaard</vt:lpstr>
      <vt:lpstr>Herprogrammeren tot 30%SH</vt:lpstr>
      <vt:lpstr>Verdichten tot 30% SH</vt:lpstr>
      <vt:lpstr>Verdichten en herpr. 67% Betaal</vt:lpstr>
      <vt:lpstr>Bouwkosten lager</vt:lpstr>
      <vt:lpstr>Uitgeven x% extra</vt:lpstr>
      <vt:lpstr>Bouwkosten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Luuk Lentferink</dc:creator>
  <cp:keywords/>
  <dc:description/>
  <cp:lastModifiedBy>Erik de Leve</cp:lastModifiedBy>
  <cp:revision/>
  <dcterms:created xsi:type="dcterms:W3CDTF">2023-04-13T07:23:16Z</dcterms:created>
  <dcterms:modified xsi:type="dcterms:W3CDTF">2026-02-26T13:35:55Z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0x010100491E0D0B80E6A84588DDF7FFD5461B8D</vt:lpwstr>
  </property>
  <property fmtid="{D5CDD505-2E9C-101B-9397-08002B2CF9AE}" pid="3" name="MediaServiceImageTags">
    <vt:lpwstr/>
  </property>
</Properties>
</file>